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MichaelRPetty\Documents\"/>
    </mc:Choice>
  </mc:AlternateContent>
  <xr:revisionPtr revIDLastSave="0" documentId="13_ncr:1_{97E26792-7D70-4C4A-A9B9-A781880BAA24}" xr6:coauthVersionLast="47" xr6:coauthVersionMax="47" xr10:uidLastSave="{00000000-0000-0000-0000-000000000000}"/>
  <bookViews>
    <workbookView xWindow="-120" yWindow="-120" windowWidth="29040" windowHeight="15990" xr2:uid="{00000000-000D-0000-FFFF-FFFF00000000}"/>
  </bookViews>
  <sheets>
    <sheet name="HCaTS Instructions" sheetId="1" r:id="rId1"/>
    <sheet name="Unrestricted Pool 1" sheetId="2" r:id="rId2"/>
    <sheet name="Unrestricted Pool 2" sheetId="3" r:id="rId3"/>
    <sheet name="Small Business Pool 1" sheetId="4" r:id="rId4"/>
    <sheet name="Small Business Pool 2" sheetId="5" r:id="rId5"/>
    <sheet name="8(a) Pool 1" sheetId="6" r:id="rId6"/>
    <sheet name="8(a) Pool 2" sheetId="7" r:id="rId7"/>
    <sheet name="Inactive HCaTS Contrac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8" l="1"/>
  <c r="D9" i="8"/>
  <c r="C9" i="8"/>
  <c r="B9" i="8"/>
  <c r="A9" i="8"/>
  <c r="E8" i="8"/>
  <c r="D8" i="8"/>
  <c r="C8" i="8"/>
  <c r="B8" i="8"/>
  <c r="A8" i="8"/>
  <c r="E7" i="8"/>
  <c r="D7" i="8"/>
  <c r="C7" i="8"/>
  <c r="B7" i="8"/>
  <c r="A7" i="8"/>
  <c r="E6" i="8"/>
  <c r="D6" i="8"/>
  <c r="C6" i="8"/>
  <c r="B6" i="8"/>
  <c r="A6" i="8"/>
  <c r="E5" i="8"/>
  <c r="D5" i="8"/>
  <c r="C5" i="8"/>
  <c r="B5" i="8"/>
  <c r="A5" i="8"/>
  <c r="E4" i="8"/>
  <c r="D4" i="8"/>
  <c r="C4" i="8"/>
  <c r="B4" i="8"/>
  <c r="A4" i="8"/>
  <c r="E3" i="8"/>
  <c r="D3" i="8"/>
  <c r="C3" i="8"/>
  <c r="B3" i="8"/>
  <c r="A3" i="8"/>
  <c r="J28" i="7"/>
  <c r="I28" i="7"/>
  <c r="H28" i="7"/>
  <c r="G28" i="7"/>
  <c r="F28" i="7"/>
  <c r="E28" i="7"/>
  <c r="D28" i="7"/>
  <c r="C28" i="7"/>
  <c r="B28" i="7"/>
  <c r="A28" i="7"/>
  <c r="K27" i="7"/>
  <c r="J27" i="7"/>
  <c r="I27" i="7"/>
  <c r="H27" i="7"/>
  <c r="G27" i="7"/>
  <c r="F27" i="7"/>
  <c r="E27" i="7"/>
  <c r="D27" i="7"/>
  <c r="C27" i="7"/>
  <c r="B27" i="7"/>
  <c r="A27" i="7"/>
  <c r="K26" i="7"/>
  <c r="J26" i="7"/>
  <c r="I26" i="7"/>
  <c r="H26" i="7"/>
  <c r="G26" i="7"/>
  <c r="F26" i="7"/>
  <c r="E26" i="7"/>
  <c r="D26" i="7"/>
  <c r="C26" i="7"/>
  <c r="B26" i="7"/>
  <c r="A26" i="7"/>
  <c r="K25" i="7"/>
  <c r="J25" i="7"/>
  <c r="I25" i="7"/>
  <c r="H25" i="7"/>
  <c r="G25" i="7"/>
  <c r="F25" i="7"/>
  <c r="E25" i="7"/>
  <c r="D25" i="7"/>
  <c r="C25" i="7"/>
  <c r="B25" i="7"/>
  <c r="A25" i="7"/>
  <c r="K24" i="7"/>
  <c r="J24" i="7"/>
  <c r="I24" i="7"/>
  <c r="H24" i="7"/>
  <c r="G24" i="7"/>
  <c r="F24" i="7"/>
  <c r="E24" i="7"/>
  <c r="D24" i="7"/>
  <c r="C24" i="7"/>
  <c r="B24" i="7"/>
  <c r="A24" i="7"/>
  <c r="K23" i="7"/>
  <c r="J23" i="7"/>
  <c r="I23" i="7"/>
  <c r="H23" i="7"/>
  <c r="G23" i="7"/>
  <c r="F23" i="7"/>
  <c r="E23" i="7"/>
  <c r="D23" i="7"/>
  <c r="C23" i="7"/>
  <c r="B23" i="7"/>
  <c r="A23" i="7"/>
  <c r="K22" i="7"/>
  <c r="J22" i="7"/>
  <c r="I22" i="7"/>
  <c r="H22" i="7"/>
  <c r="G22" i="7"/>
  <c r="F22" i="7"/>
  <c r="E22" i="7"/>
  <c r="D22" i="7"/>
  <c r="C22" i="7"/>
  <c r="B22" i="7"/>
  <c r="A22" i="7"/>
  <c r="K21" i="7"/>
  <c r="J21" i="7"/>
  <c r="I21" i="7"/>
  <c r="H21" i="7"/>
  <c r="G21" i="7"/>
  <c r="F21" i="7"/>
  <c r="E21" i="7"/>
  <c r="D21" i="7"/>
  <c r="C21" i="7"/>
  <c r="B21" i="7"/>
  <c r="A21" i="7"/>
  <c r="K20" i="7"/>
  <c r="J20" i="7"/>
  <c r="I20" i="7"/>
  <c r="H20" i="7"/>
  <c r="G20" i="7"/>
  <c r="F20" i="7"/>
  <c r="E20" i="7"/>
  <c r="D20" i="7"/>
  <c r="C20" i="7"/>
  <c r="B20" i="7"/>
  <c r="A20" i="7"/>
  <c r="K19" i="7"/>
  <c r="J19" i="7"/>
  <c r="I19" i="7"/>
  <c r="H19" i="7"/>
  <c r="G19" i="7"/>
  <c r="F19" i="7"/>
  <c r="E19" i="7"/>
  <c r="D19" i="7"/>
  <c r="C19" i="7"/>
  <c r="B19" i="7"/>
  <c r="A19" i="7"/>
  <c r="K18" i="7"/>
  <c r="J18" i="7"/>
  <c r="I18" i="7"/>
  <c r="H18" i="7"/>
  <c r="G18" i="7"/>
  <c r="F18" i="7"/>
  <c r="E18" i="7"/>
  <c r="D18" i="7"/>
  <c r="C18" i="7"/>
  <c r="B18" i="7"/>
  <c r="A18" i="7"/>
  <c r="K17" i="7"/>
  <c r="J17" i="7"/>
  <c r="I17" i="7"/>
  <c r="H17" i="7"/>
  <c r="G17" i="7"/>
  <c r="F17" i="7"/>
  <c r="E17" i="7"/>
  <c r="D17" i="7"/>
  <c r="C17" i="7"/>
  <c r="B17" i="7"/>
  <c r="A17" i="7"/>
  <c r="K16" i="7"/>
  <c r="J16" i="7"/>
  <c r="I16" i="7"/>
  <c r="H16" i="7"/>
  <c r="G16" i="7"/>
  <c r="F16" i="7"/>
  <c r="E16" i="7"/>
  <c r="D16" i="7"/>
  <c r="C16" i="7"/>
  <c r="B16" i="7"/>
  <c r="A16" i="7"/>
  <c r="K15" i="7"/>
  <c r="J15" i="7"/>
  <c r="I15" i="7"/>
  <c r="H15" i="7"/>
  <c r="G15" i="7"/>
  <c r="F15" i="7"/>
  <c r="E15" i="7"/>
  <c r="D15" i="7"/>
  <c r="C15" i="7"/>
  <c r="B15" i="7"/>
  <c r="A15" i="7"/>
  <c r="K14" i="7"/>
  <c r="J14" i="7"/>
  <c r="I14" i="7"/>
  <c r="H14" i="7"/>
  <c r="G14" i="7"/>
  <c r="F14" i="7"/>
  <c r="E14" i="7"/>
  <c r="D14" i="7"/>
  <c r="C14" i="7"/>
  <c r="B14" i="7"/>
  <c r="A14" i="7"/>
  <c r="K13" i="7"/>
  <c r="J13" i="7"/>
  <c r="I13" i="7"/>
  <c r="H13" i="7"/>
  <c r="G13" i="7"/>
  <c r="F13" i="7"/>
  <c r="E13" i="7"/>
  <c r="D13" i="7"/>
  <c r="C13" i="7"/>
  <c r="B13" i="7"/>
  <c r="A13" i="7"/>
  <c r="K12" i="7"/>
  <c r="J12" i="7"/>
  <c r="I12" i="7"/>
  <c r="H12" i="7"/>
  <c r="G12" i="7"/>
  <c r="F12" i="7"/>
  <c r="E12" i="7"/>
  <c r="D12" i="7"/>
  <c r="C12" i="7"/>
  <c r="B12" i="7"/>
  <c r="A12" i="7"/>
  <c r="K11" i="7"/>
  <c r="J11" i="7"/>
  <c r="I11" i="7"/>
  <c r="H11" i="7"/>
  <c r="G11" i="7"/>
  <c r="F11" i="7"/>
  <c r="E11" i="7"/>
  <c r="D11" i="7"/>
  <c r="C11" i="7"/>
  <c r="B11" i="7"/>
  <c r="A11" i="7"/>
  <c r="K10" i="7"/>
  <c r="J10" i="7"/>
  <c r="I10" i="7"/>
  <c r="H10" i="7"/>
  <c r="G10" i="7"/>
  <c r="F10" i="7"/>
  <c r="E10" i="7"/>
  <c r="D10" i="7"/>
  <c r="C10" i="7"/>
  <c r="B10" i="7"/>
  <c r="A10" i="7"/>
  <c r="K9" i="7"/>
  <c r="J9" i="7"/>
  <c r="I9" i="7"/>
  <c r="H9" i="7"/>
  <c r="G9" i="7"/>
  <c r="F9" i="7"/>
  <c r="E9" i="7"/>
  <c r="D9" i="7"/>
  <c r="C9" i="7"/>
  <c r="B9" i="7"/>
  <c r="A9" i="7"/>
  <c r="K8" i="7"/>
  <c r="J8" i="7"/>
  <c r="I8" i="7"/>
  <c r="H8" i="7"/>
  <c r="G8" i="7"/>
  <c r="F8" i="7"/>
  <c r="E8" i="7"/>
  <c r="D8" i="7"/>
  <c r="C8" i="7"/>
  <c r="B8" i="7"/>
  <c r="A8" i="7"/>
  <c r="K7" i="7"/>
  <c r="J7" i="7"/>
  <c r="I7" i="7"/>
  <c r="H7" i="7"/>
  <c r="G7" i="7"/>
  <c r="F7" i="7"/>
  <c r="E7" i="7"/>
  <c r="D7" i="7"/>
  <c r="C7" i="7"/>
  <c r="B7" i="7"/>
  <c r="A7" i="7"/>
  <c r="K6" i="7"/>
  <c r="J6" i="7"/>
  <c r="I6" i="7"/>
  <c r="H6" i="7"/>
  <c r="G6" i="7"/>
  <c r="F6" i="7"/>
  <c r="E6" i="7"/>
  <c r="D6" i="7"/>
  <c r="C6" i="7"/>
  <c r="B6" i="7"/>
  <c r="A6" i="7"/>
  <c r="K5" i="7"/>
  <c r="J5" i="7"/>
  <c r="I5" i="7"/>
  <c r="H5" i="7"/>
  <c r="G5" i="7"/>
  <c r="F5" i="7"/>
  <c r="E5" i="7"/>
  <c r="D5" i="7"/>
  <c r="C5" i="7"/>
  <c r="B5" i="7"/>
  <c r="A5" i="7"/>
  <c r="K4" i="7"/>
  <c r="J4" i="7"/>
  <c r="I4" i="7"/>
  <c r="H4" i="7"/>
  <c r="G4" i="7"/>
  <c r="F4" i="7"/>
  <c r="E4" i="7"/>
  <c r="D4" i="7"/>
  <c r="C4" i="7"/>
  <c r="B4" i="7"/>
  <c r="A4" i="7"/>
  <c r="K3" i="7"/>
  <c r="J3" i="7"/>
  <c r="I3" i="7"/>
  <c r="H3" i="7"/>
  <c r="G3" i="7"/>
  <c r="F3" i="7"/>
  <c r="E3" i="7"/>
  <c r="D3" i="7"/>
  <c r="C3" i="7"/>
  <c r="B3" i="7"/>
  <c r="A3" i="7"/>
  <c r="K19" i="6"/>
  <c r="J19" i="6"/>
  <c r="I19" i="6"/>
  <c r="H19" i="6"/>
  <c r="G19" i="6"/>
  <c r="F19" i="6"/>
  <c r="E19" i="6"/>
  <c r="D19" i="6"/>
  <c r="C19" i="6"/>
  <c r="B19" i="6"/>
  <c r="A19" i="6"/>
  <c r="K18" i="6"/>
  <c r="J18" i="6"/>
  <c r="I18" i="6"/>
  <c r="H18" i="6"/>
  <c r="G18" i="6"/>
  <c r="F18" i="6"/>
  <c r="E18" i="6"/>
  <c r="D18" i="6"/>
  <c r="C18" i="6"/>
  <c r="B18" i="6"/>
  <c r="A18" i="6"/>
  <c r="K17" i="6"/>
  <c r="J17" i="6"/>
  <c r="I17" i="6"/>
  <c r="H17" i="6"/>
  <c r="G17" i="6"/>
  <c r="F17" i="6"/>
  <c r="E17" i="6"/>
  <c r="D17" i="6"/>
  <c r="C17" i="6"/>
  <c r="B17" i="6"/>
  <c r="A17" i="6"/>
  <c r="K16" i="6"/>
  <c r="J16" i="6"/>
  <c r="I16" i="6"/>
  <c r="H16" i="6"/>
  <c r="G16" i="6"/>
  <c r="F16" i="6"/>
  <c r="E16" i="6"/>
  <c r="D16" i="6"/>
  <c r="C16" i="6"/>
  <c r="B16" i="6"/>
  <c r="A16" i="6"/>
  <c r="K15" i="6"/>
  <c r="J15" i="6"/>
  <c r="I15" i="6"/>
  <c r="H15" i="6"/>
  <c r="G15" i="6"/>
  <c r="F15" i="6"/>
  <c r="E15" i="6"/>
  <c r="D15" i="6"/>
  <c r="C15" i="6"/>
  <c r="B15" i="6"/>
  <c r="A15" i="6"/>
  <c r="K14" i="6"/>
  <c r="J14" i="6"/>
  <c r="I14" i="6"/>
  <c r="H14" i="6"/>
  <c r="G14" i="6"/>
  <c r="F14" i="6"/>
  <c r="E14" i="6"/>
  <c r="D14" i="6"/>
  <c r="C14" i="6"/>
  <c r="B14" i="6"/>
  <c r="A14" i="6"/>
  <c r="K13" i="6"/>
  <c r="J13" i="6"/>
  <c r="I13" i="6"/>
  <c r="H13" i="6"/>
  <c r="G13" i="6"/>
  <c r="F13" i="6"/>
  <c r="E13" i="6"/>
  <c r="D13" i="6"/>
  <c r="C13" i="6"/>
  <c r="B13" i="6"/>
  <c r="A13" i="6"/>
  <c r="K12" i="6"/>
  <c r="J12" i="6"/>
  <c r="I12" i="6"/>
  <c r="H12" i="6"/>
  <c r="G12" i="6"/>
  <c r="F12" i="6"/>
  <c r="E12" i="6"/>
  <c r="D12" i="6"/>
  <c r="C12" i="6"/>
  <c r="B12" i="6"/>
  <c r="A12" i="6"/>
  <c r="K11" i="6"/>
  <c r="J11" i="6"/>
  <c r="I11" i="6"/>
  <c r="H11" i="6"/>
  <c r="G11" i="6"/>
  <c r="F11" i="6"/>
  <c r="E11" i="6"/>
  <c r="D11" i="6"/>
  <c r="C11" i="6"/>
  <c r="B11" i="6"/>
  <c r="A11" i="6"/>
  <c r="K10" i="6"/>
  <c r="J10" i="6"/>
  <c r="I10" i="6"/>
  <c r="H10" i="6"/>
  <c r="G10" i="6"/>
  <c r="F10" i="6"/>
  <c r="E10" i="6"/>
  <c r="D10" i="6"/>
  <c r="C10" i="6"/>
  <c r="B10" i="6"/>
  <c r="A10" i="6"/>
  <c r="K9" i="6"/>
  <c r="J9" i="6"/>
  <c r="I9" i="6"/>
  <c r="H9" i="6"/>
  <c r="G9" i="6"/>
  <c r="F9" i="6"/>
  <c r="E9" i="6"/>
  <c r="D9" i="6"/>
  <c r="C9" i="6"/>
  <c r="B9" i="6"/>
  <c r="A9" i="6"/>
  <c r="K8" i="6"/>
  <c r="J8" i="6"/>
  <c r="I8" i="6"/>
  <c r="H8" i="6"/>
  <c r="G8" i="6"/>
  <c r="F8" i="6"/>
  <c r="E8" i="6"/>
  <c r="D8" i="6"/>
  <c r="C8" i="6"/>
  <c r="B8" i="6"/>
  <c r="A8" i="6"/>
  <c r="K7" i="6"/>
  <c r="J7" i="6"/>
  <c r="I7" i="6"/>
  <c r="H7" i="6"/>
  <c r="G7" i="6"/>
  <c r="F7" i="6"/>
  <c r="E7" i="6"/>
  <c r="D7" i="6"/>
  <c r="C7" i="6"/>
  <c r="B7" i="6"/>
  <c r="A7" i="6"/>
  <c r="K6" i="6"/>
  <c r="J6" i="6"/>
  <c r="I6" i="6"/>
  <c r="H6" i="6"/>
  <c r="G6" i="6"/>
  <c r="F6" i="6"/>
  <c r="E6" i="6"/>
  <c r="D6" i="6"/>
  <c r="C6" i="6"/>
  <c r="B6" i="6"/>
  <c r="A6" i="6"/>
  <c r="K5" i="6"/>
  <c r="J5" i="6"/>
  <c r="I5" i="6"/>
  <c r="H5" i="6"/>
  <c r="G5" i="6"/>
  <c r="F5" i="6"/>
  <c r="E5" i="6"/>
  <c r="D5" i="6"/>
  <c r="C5" i="6"/>
  <c r="B5" i="6"/>
  <c r="A5" i="6"/>
  <c r="K4" i="6"/>
  <c r="J4" i="6"/>
  <c r="I4" i="6"/>
  <c r="H4" i="6"/>
  <c r="G4" i="6"/>
  <c r="F4" i="6"/>
  <c r="E4" i="6"/>
  <c r="D4" i="6"/>
  <c r="C4" i="6"/>
  <c r="B4" i="6"/>
  <c r="A4" i="6"/>
  <c r="K3" i="6"/>
  <c r="J3" i="6"/>
  <c r="I3" i="6"/>
  <c r="H3" i="6"/>
  <c r="G3" i="6"/>
  <c r="F3" i="6"/>
  <c r="E3" i="6"/>
  <c r="D3" i="6"/>
  <c r="C3" i="6"/>
  <c r="B3" i="6"/>
  <c r="A3" i="6"/>
  <c r="R35" i="5"/>
  <c r="Q35" i="5"/>
  <c r="P35" i="5"/>
  <c r="O35" i="5"/>
  <c r="N35" i="5"/>
  <c r="M35" i="5"/>
  <c r="L35" i="5"/>
  <c r="K35" i="5"/>
  <c r="J35" i="5"/>
  <c r="I35" i="5"/>
  <c r="H35" i="5"/>
  <c r="G35" i="5"/>
  <c r="F35" i="5"/>
  <c r="E35" i="5"/>
  <c r="D35" i="5"/>
  <c r="C35" i="5"/>
  <c r="B35" i="5"/>
  <c r="A35" i="5"/>
  <c r="R34" i="5"/>
  <c r="Q34" i="5"/>
  <c r="P34" i="5"/>
  <c r="O34" i="5"/>
  <c r="N34" i="5"/>
  <c r="M34" i="5"/>
  <c r="L34" i="5"/>
  <c r="K34" i="5"/>
  <c r="J34" i="5"/>
  <c r="I34" i="5"/>
  <c r="H34" i="5"/>
  <c r="G34" i="5"/>
  <c r="F34" i="5"/>
  <c r="E34" i="5"/>
  <c r="D34" i="5"/>
  <c r="C34" i="5"/>
  <c r="B34" i="5"/>
  <c r="A34" i="5"/>
  <c r="R33" i="5"/>
  <c r="Q33" i="5"/>
  <c r="P33" i="5"/>
  <c r="O33" i="5"/>
  <c r="N33" i="5"/>
  <c r="M33" i="5"/>
  <c r="L33" i="5"/>
  <c r="K33" i="5"/>
  <c r="J33" i="5"/>
  <c r="I33" i="5"/>
  <c r="H33" i="5"/>
  <c r="G33" i="5"/>
  <c r="F33" i="5"/>
  <c r="E33" i="5"/>
  <c r="D33" i="5"/>
  <c r="C33" i="5"/>
  <c r="B33" i="5"/>
  <c r="A33" i="5"/>
  <c r="R32" i="5"/>
  <c r="Q32" i="5"/>
  <c r="P32" i="5"/>
  <c r="O32" i="5"/>
  <c r="N32" i="5"/>
  <c r="M32" i="5"/>
  <c r="L32" i="5"/>
  <c r="K32" i="5"/>
  <c r="J32" i="5"/>
  <c r="I32" i="5"/>
  <c r="H32" i="5"/>
  <c r="G32" i="5"/>
  <c r="F32" i="5"/>
  <c r="E32" i="5"/>
  <c r="D32" i="5"/>
  <c r="C32" i="5"/>
  <c r="B32" i="5"/>
  <c r="A32" i="5"/>
  <c r="R31" i="5"/>
  <c r="Q31" i="5"/>
  <c r="P31" i="5"/>
  <c r="O31" i="5"/>
  <c r="N31" i="5"/>
  <c r="M31" i="5"/>
  <c r="L31" i="5"/>
  <c r="K31" i="5"/>
  <c r="J31" i="5"/>
  <c r="I31" i="5"/>
  <c r="H31" i="5"/>
  <c r="G31" i="5"/>
  <c r="F31" i="5"/>
  <c r="E31" i="5"/>
  <c r="D31" i="5"/>
  <c r="C31" i="5"/>
  <c r="B31" i="5"/>
  <c r="A31" i="5"/>
  <c r="R30" i="5"/>
  <c r="Q30" i="5"/>
  <c r="P30" i="5"/>
  <c r="O30" i="5"/>
  <c r="N30" i="5"/>
  <c r="M30" i="5"/>
  <c r="L30" i="5"/>
  <c r="K30" i="5"/>
  <c r="J30" i="5"/>
  <c r="I30" i="5"/>
  <c r="H30" i="5"/>
  <c r="G30" i="5"/>
  <c r="F30" i="5"/>
  <c r="E30" i="5"/>
  <c r="D30" i="5"/>
  <c r="C30" i="5"/>
  <c r="B30" i="5"/>
  <c r="A30" i="5"/>
  <c r="R29" i="5"/>
  <c r="Q29" i="5"/>
  <c r="P29" i="5"/>
  <c r="O29" i="5"/>
  <c r="N29" i="5"/>
  <c r="M29" i="5"/>
  <c r="L29" i="5"/>
  <c r="K29" i="5"/>
  <c r="J29" i="5"/>
  <c r="I29" i="5"/>
  <c r="H29" i="5"/>
  <c r="G29" i="5"/>
  <c r="F29" i="5"/>
  <c r="E29" i="5"/>
  <c r="D29" i="5"/>
  <c r="C29" i="5"/>
  <c r="B29" i="5"/>
  <c r="A29" i="5"/>
  <c r="R28" i="5"/>
  <c r="Q28" i="5"/>
  <c r="P28" i="5"/>
  <c r="O28" i="5"/>
  <c r="N28" i="5"/>
  <c r="M28" i="5"/>
  <c r="L28" i="5"/>
  <c r="K28" i="5"/>
  <c r="J28" i="5"/>
  <c r="I28" i="5"/>
  <c r="H28" i="5"/>
  <c r="G28" i="5"/>
  <c r="F28" i="5"/>
  <c r="E28" i="5"/>
  <c r="D28" i="5"/>
  <c r="C28" i="5"/>
  <c r="B28" i="5"/>
  <c r="A28" i="5"/>
  <c r="R27" i="5"/>
  <c r="Q27" i="5"/>
  <c r="P27" i="5"/>
  <c r="O27" i="5"/>
  <c r="N27" i="5"/>
  <c r="M27" i="5"/>
  <c r="L27" i="5"/>
  <c r="K27" i="5"/>
  <c r="J27" i="5"/>
  <c r="I27" i="5"/>
  <c r="H27" i="5"/>
  <c r="G27" i="5"/>
  <c r="F27" i="5"/>
  <c r="E27" i="5"/>
  <c r="D27" i="5"/>
  <c r="C27" i="5"/>
  <c r="B27" i="5"/>
  <c r="A27" i="5"/>
  <c r="R26" i="5"/>
  <c r="Q26" i="5"/>
  <c r="P26" i="5"/>
  <c r="O26" i="5"/>
  <c r="N26" i="5"/>
  <c r="M26" i="5"/>
  <c r="L26" i="5"/>
  <c r="K26" i="5"/>
  <c r="J26" i="5"/>
  <c r="I26" i="5"/>
  <c r="H26" i="5"/>
  <c r="G26" i="5"/>
  <c r="F26" i="5"/>
  <c r="E26" i="5"/>
  <c r="D26" i="5"/>
  <c r="C26" i="5"/>
  <c r="B26" i="5"/>
  <c r="A26" i="5"/>
  <c r="R25" i="5"/>
  <c r="Q25" i="5"/>
  <c r="P25" i="5"/>
  <c r="O25" i="5"/>
  <c r="N25" i="5"/>
  <c r="M25" i="5"/>
  <c r="L25" i="5"/>
  <c r="K25" i="5"/>
  <c r="J25" i="5"/>
  <c r="I25" i="5"/>
  <c r="H25" i="5"/>
  <c r="G25" i="5"/>
  <c r="F25" i="5"/>
  <c r="E25" i="5"/>
  <c r="D25" i="5"/>
  <c r="C25" i="5"/>
  <c r="B25" i="5"/>
  <c r="A25" i="5"/>
  <c r="R24" i="5"/>
  <c r="Q24" i="5"/>
  <c r="P24" i="5"/>
  <c r="O24" i="5"/>
  <c r="N24" i="5"/>
  <c r="M24" i="5"/>
  <c r="L24" i="5"/>
  <c r="K24" i="5"/>
  <c r="J24" i="5"/>
  <c r="I24" i="5"/>
  <c r="H24" i="5"/>
  <c r="G24" i="5"/>
  <c r="F24" i="5"/>
  <c r="E24" i="5"/>
  <c r="D24" i="5"/>
  <c r="C24" i="5"/>
  <c r="B24" i="5"/>
  <c r="A24" i="5"/>
  <c r="R23" i="5"/>
  <c r="Q23" i="5"/>
  <c r="P23" i="5"/>
  <c r="O23" i="5"/>
  <c r="N23" i="5"/>
  <c r="M23" i="5"/>
  <c r="L23" i="5"/>
  <c r="K23" i="5"/>
  <c r="J23" i="5"/>
  <c r="I23" i="5"/>
  <c r="H23" i="5"/>
  <c r="G23" i="5"/>
  <c r="F23" i="5"/>
  <c r="E23" i="5"/>
  <c r="D23" i="5"/>
  <c r="C23" i="5"/>
  <c r="B23" i="5"/>
  <c r="A23" i="5"/>
  <c r="R22" i="5"/>
  <c r="Q22" i="5"/>
  <c r="P22" i="5"/>
  <c r="O22" i="5"/>
  <c r="N22" i="5"/>
  <c r="M22" i="5"/>
  <c r="L22" i="5"/>
  <c r="K22" i="5"/>
  <c r="J22" i="5"/>
  <c r="I22" i="5"/>
  <c r="H22" i="5"/>
  <c r="G22" i="5"/>
  <c r="F22" i="5"/>
  <c r="E22" i="5"/>
  <c r="D22" i="5"/>
  <c r="C22" i="5"/>
  <c r="B22" i="5"/>
  <c r="A22" i="5"/>
  <c r="R21" i="5"/>
  <c r="Q21" i="5"/>
  <c r="P21" i="5"/>
  <c r="O21" i="5"/>
  <c r="N21" i="5"/>
  <c r="M21" i="5"/>
  <c r="L21" i="5"/>
  <c r="K21" i="5"/>
  <c r="J21" i="5"/>
  <c r="I21" i="5"/>
  <c r="H21" i="5"/>
  <c r="G21" i="5"/>
  <c r="F21" i="5"/>
  <c r="E21" i="5"/>
  <c r="D21" i="5"/>
  <c r="C21" i="5"/>
  <c r="B21" i="5"/>
  <c r="A21" i="5"/>
  <c r="R20" i="5"/>
  <c r="Q20" i="5"/>
  <c r="P20" i="5"/>
  <c r="O20" i="5"/>
  <c r="N20" i="5"/>
  <c r="M20" i="5"/>
  <c r="L20" i="5"/>
  <c r="K20" i="5"/>
  <c r="J20" i="5"/>
  <c r="I20" i="5"/>
  <c r="H20" i="5"/>
  <c r="G20" i="5"/>
  <c r="F20" i="5"/>
  <c r="E20" i="5"/>
  <c r="D20" i="5"/>
  <c r="C20" i="5"/>
  <c r="B20" i="5"/>
  <c r="A20" i="5"/>
  <c r="R19" i="5"/>
  <c r="Q19" i="5"/>
  <c r="P19" i="5"/>
  <c r="O19" i="5"/>
  <c r="N19" i="5"/>
  <c r="M19" i="5"/>
  <c r="L19" i="5"/>
  <c r="K19" i="5"/>
  <c r="J19" i="5"/>
  <c r="I19" i="5"/>
  <c r="H19" i="5"/>
  <c r="G19" i="5"/>
  <c r="F19" i="5"/>
  <c r="E19" i="5"/>
  <c r="D19" i="5"/>
  <c r="C19" i="5"/>
  <c r="B19" i="5"/>
  <c r="A19" i="5"/>
  <c r="R18" i="5"/>
  <c r="Q18" i="5"/>
  <c r="P18" i="5"/>
  <c r="O18" i="5"/>
  <c r="N18" i="5"/>
  <c r="M18" i="5"/>
  <c r="L18" i="5"/>
  <c r="K18" i="5"/>
  <c r="J18" i="5"/>
  <c r="I18" i="5"/>
  <c r="H18" i="5"/>
  <c r="G18" i="5"/>
  <c r="F18" i="5"/>
  <c r="E18" i="5"/>
  <c r="D18" i="5"/>
  <c r="C18" i="5"/>
  <c r="B18" i="5"/>
  <c r="A18" i="5"/>
  <c r="R17" i="5"/>
  <c r="Q17" i="5"/>
  <c r="P17" i="5"/>
  <c r="O17" i="5"/>
  <c r="N17" i="5"/>
  <c r="M17" i="5"/>
  <c r="L17" i="5"/>
  <c r="K17" i="5"/>
  <c r="J17" i="5"/>
  <c r="I17" i="5"/>
  <c r="H17" i="5"/>
  <c r="G17" i="5"/>
  <c r="F17" i="5"/>
  <c r="E17" i="5"/>
  <c r="D17" i="5"/>
  <c r="C17" i="5"/>
  <c r="B17" i="5"/>
  <c r="A17" i="5"/>
  <c r="R16" i="5"/>
  <c r="Q16" i="5"/>
  <c r="P16" i="5"/>
  <c r="O16" i="5"/>
  <c r="N16" i="5"/>
  <c r="M16" i="5"/>
  <c r="L16" i="5"/>
  <c r="K16" i="5"/>
  <c r="J16" i="5"/>
  <c r="I16" i="5"/>
  <c r="H16" i="5"/>
  <c r="G16" i="5"/>
  <c r="F16" i="5"/>
  <c r="E16" i="5"/>
  <c r="D16" i="5"/>
  <c r="C16" i="5"/>
  <c r="B16" i="5"/>
  <c r="A16" i="5"/>
  <c r="R15" i="5"/>
  <c r="Q15" i="5"/>
  <c r="P15" i="5"/>
  <c r="O15" i="5"/>
  <c r="N15" i="5"/>
  <c r="M15" i="5"/>
  <c r="K15" i="5"/>
  <c r="J15" i="5"/>
  <c r="I15" i="5"/>
  <c r="H15" i="5"/>
  <c r="G15" i="5"/>
  <c r="F15" i="5"/>
  <c r="E15" i="5"/>
  <c r="D15" i="5"/>
  <c r="C15" i="5"/>
  <c r="B15" i="5"/>
  <c r="A15" i="5"/>
  <c r="R14" i="5"/>
  <c r="Q14" i="5"/>
  <c r="P14" i="5"/>
  <c r="O14" i="5"/>
  <c r="N14" i="5"/>
  <c r="M14" i="5"/>
  <c r="L14" i="5"/>
  <c r="K14" i="5"/>
  <c r="J14" i="5"/>
  <c r="I14" i="5"/>
  <c r="H14" i="5"/>
  <c r="G14" i="5"/>
  <c r="F14" i="5"/>
  <c r="E14" i="5"/>
  <c r="D14" i="5"/>
  <c r="C14" i="5"/>
  <c r="B14" i="5"/>
  <c r="A14" i="5"/>
  <c r="R13" i="5"/>
  <c r="Q13" i="5"/>
  <c r="P13" i="5"/>
  <c r="O13" i="5"/>
  <c r="N13" i="5"/>
  <c r="M13" i="5"/>
  <c r="L13" i="5"/>
  <c r="K13" i="5"/>
  <c r="J13" i="5"/>
  <c r="I13" i="5"/>
  <c r="H13" i="5"/>
  <c r="G13" i="5"/>
  <c r="F13" i="5"/>
  <c r="E13" i="5"/>
  <c r="D13" i="5"/>
  <c r="C13" i="5"/>
  <c r="B13" i="5"/>
  <c r="A13" i="5"/>
  <c r="R12" i="5"/>
  <c r="Q12" i="5"/>
  <c r="P12" i="5"/>
  <c r="O12" i="5"/>
  <c r="N12" i="5"/>
  <c r="M12" i="5"/>
  <c r="L12" i="5"/>
  <c r="K12" i="5"/>
  <c r="J12" i="5"/>
  <c r="I12" i="5"/>
  <c r="H12" i="5"/>
  <c r="G12" i="5"/>
  <c r="F12" i="5"/>
  <c r="E12" i="5"/>
  <c r="D12" i="5"/>
  <c r="C12" i="5"/>
  <c r="B12" i="5"/>
  <c r="A12" i="5"/>
  <c r="R11" i="5"/>
  <c r="Q11" i="5"/>
  <c r="P11" i="5"/>
  <c r="O11" i="5"/>
  <c r="N11" i="5"/>
  <c r="M11" i="5"/>
  <c r="L11" i="5"/>
  <c r="K11" i="5"/>
  <c r="J11" i="5"/>
  <c r="I11" i="5"/>
  <c r="H11" i="5"/>
  <c r="G11" i="5"/>
  <c r="F11" i="5"/>
  <c r="E11" i="5"/>
  <c r="D11" i="5"/>
  <c r="C11" i="5"/>
  <c r="B11" i="5"/>
  <c r="A11" i="5"/>
  <c r="R10" i="5"/>
  <c r="Q10" i="5"/>
  <c r="P10" i="5"/>
  <c r="O10" i="5"/>
  <c r="N10" i="5"/>
  <c r="M10" i="5"/>
  <c r="L10" i="5"/>
  <c r="K10" i="5"/>
  <c r="J10" i="5"/>
  <c r="I10" i="5"/>
  <c r="H10" i="5"/>
  <c r="G10" i="5"/>
  <c r="F10" i="5"/>
  <c r="E10" i="5"/>
  <c r="D10" i="5"/>
  <c r="C10" i="5"/>
  <c r="B10" i="5"/>
  <c r="A10" i="5"/>
  <c r="R9" i="5"/>
  <c r="Q9" i="5"/>
  <c r="P9" i="5"/>
  <c r="O9" i="5"/>
  <c r="N9" i="5"/>
  <c r="M9" i="5"/>
  <c r="L9" i="5"/>
  <c r="K9" i="5"/>
  <c r="J9" i="5"/>
  <c r="I9" i="5"/>
  <c r="H9" i="5"/>
  <c r="G9" i="5"/>
  <c r="F9" i="5"/>
  <c r="E9" i="5"/>
  <c r="D9" i="5"/>
  <c r="C9" i="5"/>
  <c r="B9" i="5"/>
  <c r="A9" i="5"/>
  <c r="R8" i="5"/>
  <c r="Q8" i="5"/>
  <c r="P8" i="5"/>
  <c r="O8" i="5"/>
  <c r="N8" i="5"/>
  <c r="M8" i="5"/>
  <c r="L8" i="5"/>
  <c r="K8" i="5"/>
  <c r="J8" i="5"/>
  <c r="I8" i="5"/>
  <c r="H8" i="5"/>
  <c r="G8" i="5"/>
  <c r="F8" i="5"/>
  <c r="E8" i="5"/>
  <c r="D8" i="5"/>
  <c r="C8" i="5"/>
  <c r="B8" i="5"/>
  <c r="A8" i="5"/>
  <c r="R7" i="5"/>
  <c r="Q7" i="5"/>
  <c r="P7" i="5"/>
  <c r="O7" i="5"/>
  <c r="N7" i="5"/>
  <c r="M7" i="5"/>
  <c r="L7" i="5"/>
  <c r="K7" i="5"/>
  <c r="J7" i="5"/>
  <c r="I7" i="5"/>
  <c r="H7" i="5"/>
  <c r="G7" i="5"/>
  <c r="F7" i="5"/>
  <c r="E7" i="5"/>
  <c r="D7" i="5"/>
  <c r="C7" i="5"/>
  <c r="B7" i="5"/>
  <c r="A7" i="5"/>
  <c r="R6" i="5"/>
  <c r="Q6" i="5"/>
  <c r="P6" i="5"/>
  <c r="O6" i="5"/>
  <c r="N6" i="5"/>
  <c r="M6" i="5"/>
  <c r="L6" i="5"/>
  <c r="K6" i="5"/>
  <c r="J6" i="5"/>
  <c r="I6" i="5"/>
  <c r="H6" i="5"/>
  <c r="G6" i="5"/>
  <c r="F6" i="5"/>
  <c r="E6" i="5"/>
  <c r="D6" i="5"/>
  <c r="C6" i="5"/>
  <c r="B6" i="5"/>
  <c r="A6" i="5"/>
  <c r="R5" i="5"/>
  <c r="Q5" i="5"/>
  <c r="P5" i="5"/>
  <c r="O5" i="5"/>
  <c r="N5" i="5"/>
  <c r="M5" i="5"/>
  <c r="L5" i="5"/>
  <c r="K5" i="5"/>
  <c r="J5" i="5"/>
  <c r="I5" i="5"/>
  <c r="H5" i="5"/>
  <c r="G5" i="5"/>
  <c r="F5" i="5"/>
  <c r="E5" i="5"/>
  <c r="D5" i="5"/>
  <c r="C5" i="5"/>
  <c r="B5" i="5"/>
  <c r="A5" i="5"/>
  <c r="K4" i="5"/>
  <c r="J4" i="5"/>
  <c r="I4" i="5"/>
  <c r="H4" i="5"/>
  <c r="G4" i="5"/>
  <c r="F4" i="5"/>
  <c r="E4" i="5"/>
  <c r="A4" i="5"/>
  <c r="R34" i="4"/>
  <c r="Q34" i="4"/>
  <c r="P34" i="4"/>
  <c r="O34" i="4"/>
  <c r="N34" i="4"/>
  <c r="M34" i="4"/>
  <c r="L34" i="4"/>
  <c r="K34" i="4"/>
  <c r="J34" i="4"/>
  <c r="I34" i="4"/>
  <c r="H34" i="4"/>
  <c r="G34" i="4"/>
  <c r="F34" i="4"/>
  <c r="E34" i="4"/>
  <c r="D34" i="4"/>
  <c r="C34" i="4"/>
  <c r="B34" i="4"/>
  <c r="A34" i="4"/>
  <c r="R33" i="4"/>
  <c r="Q33" i="4"/>
  <c r="P33" i="4"/>
  <c r="O33" i="4"/>
  <c r="N33" i="4"/>
  <c r="M33" i="4"/>
  <c r="L33" i="4"/>
  <c r="K33" i="4"/>
  <c r="J33" i="4"/>
  <c r="I33" i="4"/>
  <c r="H33" i="4"/>
  <c r="G33" i="4"/>
  <c r="F33" i="4"/>
  <c r="E33" i="4"/>
  <c r="D33" i="4"/>
  <c r="C33" i="4"/>
  <c r="B33" i="4"/>
  <c r="A33" i="4"/>
  <c r="R32" i="4"/>
  <c r="Q32" i="4"/>
  <c r="P32" i="4"/>
  <c r="O32" i="4"/>
  <c r="N32" i="4"/>
  <c r="M32" i="4"/>
  <c r="L32" i="4"/>
  <c r="K32" i="4"/>
  <c r="J32" i="4"/>
  <c r="I32" i="4"/>
  <c r="H32" i="4"/>
  <c r="G32" i="4"/>
  <c r="F32" i="4"/>
  <c r="E32" i="4"/>
  <c r="D32" i="4"/>
  <c r="C32" i="4"/>
  <c r="B32" i="4"/>
  <c r="A32" i="4"/>
  <c r="R31" i="4"/>
  <c r="Q31" i="4"/>
  <c r="P31" i="4"/>
  <c r="O31" i="4"/>
  <c r="N31" i="4"/>
  <c r="M31" i="4"/>
  <c r="L31" i="4"/>
  <c r="K31" i="4"/>
  <c r="J31" i="4"/>
  <c r="I31" i="4"/>
  <c r="H31" i="4"/>
  <c r="G31" i="4"/>
  <c r="F31" i="4"/>
  <c r="E31" i="4"/>
  <c r="D31" i="4"/>
  <c r="C31" i="4"/>
  <c r="B31" i="4"/>
  <c r="A31" i="4"/>
  <c r="R30" i="4"/>
  <c r="Q30" i="4"/>
  <c r="P30" i="4"/>
  <c r="O30" i="4"/>
  <c r="N30" i="4"/>
  <c r="M30" i="4"/>
  <c r="L30" i="4"/>
  <c r="K30" i="4"/>
  <c r="J30" i="4"/>
  <c r="I30" i="4"/>
  <c r="H30" i="4"/>
  <c r="G30" i="4"/>
  <c r="F30" i="4"/>
  <c r="E30" i="4"/>
  <c r="D30" i="4"/>
  <c r="C30" i="4"/>
  <c r="B30" i="4"/>
  <c r="A30" i="4"/>
  <c r="R29" i="4"/>
  <c r="Q29" i="4"/>
  <c r="P29" i="4"/>
  <c r="O29" i="4"/>
  <c r="N29" i="4"/>
  <c r="M29" i="4"/>
  <c r="L29" i="4"/>
  <c r="K29" i="4"/>
  <c r="J29" i="4"/>
  <c r="I29" i="4"/>
  <c r="H29" i="4"/>
  <c r="G29" i="4"/>
  <c r="F29" i="4"/>
  <c r="E29" i="4"/>
  <c r="D29" i="4"/>
  <c r="C29" i="4"/>
  <c r="B29" i="4"/>
  <c r="A29" i="4"/>
  <c r="R28" i="4"/>
  <c r="Q28" i="4"/>
  <c r="P28" i="4"/>
  <c r="O28" i="4"/>
  <c r="N28" i="4"/>
  <c r="M28" i="4"/>
  <c r="L28" i="4"/>
  <c r="K28" i="4"/>
  <c r="J28" i="4"/>
  <c r="I28" i="4"/>
  <c r="H28" i="4"/>
  <c r="G28" i="4"/>
  <c r="F28" i="4"/>
  <c r="E28" i="4"/>
  <c r="D28" i="4"/>
  <c r="C28" i="4"/>
  <c r="B28" i="4"/>
  <c r="A28" i="4"/>
  <c r="R27" i="4"/>
  <c r="Q27" i="4"/>
  <c r="P27" i="4"/>
  <c r="O27" i="4"/>
  <c r="N27" i="4"/>
  <c r="M27" i="4"/>
  <c r="L27" i="4"/>
  <c r="K27" i="4"/>
  <c r="J27" i="4"/>
  <c r="I27" i="4"/>
  <c r="H27" i="4"/>
  <c r="G27" i="4"/>
  <c r="F27" i="4"/>
  <c r="E27" i="4"/>
  <c r="D27" i="4"/>
  <c r="C27" i="4"/>
  <c r="B27" i="4"/>
  <c r="A27" i="4"/>
  <c r="R26" i="4"/>
  <c r="Q26" i="4"/>
  <c r="P26" i="4"/>
  <c r="O26" i="4"/>
  <c r="N26" i="4"/>
  <c r="M26" i="4"/>
  <c r="L26" i="4"/>
  <c r="K26" i="4"/>
  <c r="J26" i="4"/>
  <c r="I26" i="4"/>
  <c r="H26" i="4"/>
  <c r="G26" i="4"/>
  <c r="F26" i="4"/>
  <c r="E26" i="4"/>
  <c r="D26" i="4"/>
  <c r="C26" i="4"/>
  <c r="B26" i="4"/>
  <c r="A26" i="4"/>
  <c r="R25" i="4"/>
  <c r="Q25" i="4"/>
  <c r="P25" i="4"/>
  <c r="O25" i="4"/>
  <c r="N25" i="4"/>
  <c r="M25" i="4"/>
  <c r="L25" i="4"/>
  <c r="K25" i="4"/>
  <c r="J25" i="4"/>
  <c r="I25" i="4"/>
  <c r="H25" i="4"/>
  <c r="G25" i="4"/>
  <c r="F25" i="4"/>
  <c r="E25" i="4"/>
  <c r="D25" i="4"/>
  <c r="C25" i="4"/>
  <c r="B25" i="4"/>
  <c r="A25" i="4"/>
  <c r="R24" i="4"/>
  <c r="Q24" i="4"/>
  <c r="P24" i="4"/>
  <c r="O24" i="4"/>
  <c r="N24" i="4"/>
  <c r="M24" i="4"/>
  <c r="L24" i="4"/>
  <c r="K24" i="4"/>
  <c r="J24" i="4"/>
  <c r="I24" i="4"/>
  <c r="H24" i="4"/>
  <c r="G24" i="4"/>
  <c r="F24" i="4"/>
  <c r="E24" i="4"/>
  <c r="D24" i="4"/>
  <c r="C24" i="4"/>
  <c r="B24" i="4"/>
  <c r="A24" i="4"/>
  <c r="R23" i="4"/>
  <c r="Q23" i="4"/>
  <c r="P23" i="4"/>
  <c r="O23" i="4"/>
  <c r="N23" i="4"/>
  <c r="M23" i="4"/>
  <c r="L23" i="4"/>
  <c r="K23" i="4"/>
  <c r="J23" i="4"/>
  <c r="I23" i="4"/>
  <c r="H23" i="4"/>
  <c r="G23" i="4"/>
  <c r="F23" i="4"/>
  <c r="E23" i="4"/>
  <c r="D23" i="4"/>
  <c r="C23" i="4"/>
  <c r="B23" i="4"/>
  <c r="A23" i="4"/>
  <c r="R22" i="4"/>
  <c r="Q22" i="4"/>
  <c r="P22" i="4"/>
  <c r="O22" i="4"/>
  <c r="N22" i="4"/>
  <c r="M22" i="4"/>
  <c r="L22" i="4"/>
  <c r="K22" i="4"/>
  <c r="J22" i="4"/>
  <c r="I22" i="4"/>
  <c r="H22" i="4"/>
  <c r="G22" i="4"/>
  <c r="F22" i="4"/>
  <c r="E22" i="4"/>
  <c r="D22" i="4"/>
  <c r="C22" i="4"/>
  <c r="B22" i="4"/>
  <c r="A22" i="4"/>
  <c r="R21" i="4"/>
  <c r="Q21" i="4"/>
  <c r="P21" i="4"/>
  <c r="O21" i="4"/>
  <c r="N21" i="4"/>
  <c r="M21" i="4"/>
  <c r="L21" i="4"/>
  <c r="K21" i="4"/>
  <c r="J21" i="4"/>
  <c r="I21" i="4"/>
  <c r="H21" i="4"/>
  <c r="G21" i="4"/>
  <c r="F21" i="4"/>
  <c r="E21" i="4"/>
  <c r="D21" i="4"/>
  <c r="C21" i="4"/>
  <c r="B21" i="4"/>
  <c r="A21" i="4"/>
  <c r="R20" i="4"/>
  <c r="Q20" i="4"/>
  <c r="P20" i="4"/>
  <c r="O20" i="4"/>
  <c r="N20" i="4"/>
  <c r="M20" i="4"/>
  <c r="L20" i="4"/>
  <c r="K20" i="4"/>
  <c r="J20" i="4"/>
  <c r="I20" i="4"/>
  <c r="H20" i="4"/>
  <c r="G20" i="4"/>
  <c r="F20" i="4"/>
  <c r="E20" i="4"/>
  <c r="D20" i="4"/>
  <c r="C20" i="4"/>
  <c r="B20" i="4"/>
  <c r="A20" i="4"/>
  <c r="R19" i="4"/>
  <c r="Q19" i="4"/>
  <c r="P19" i="4"/>
  <c r="O19" i="4"/>
  <c r="N19" i="4"/>
  <c r="M19" i="4"/>
  <c r="L19" i="4"/>
  <c r="K19" i="4"/>
  <c r="J19" i="4"/>
  <c r="I19" i="4"/>
  <c r="H19" i="4"/>
  <c r="G19" i="4"/>
  <c r="F19" i="4"/>
  <c r="E19" i="4"/>
  <c r="D19" i="4"/>
  <c r="C19" i="4"/>
  <c r="B19" i="4"/>
  <c r="A19" i="4"/>
  <c r="R18" i="4"/>
  <c r="Q18" i="4"/>
  <c r="P18" i="4"/>
  <c r="O18" i="4"/>
  <c r="N18" i="4"/>
  <c r="M18" i="4"/>
  <c r="L18" i="4"/>
  <c r="K18" i="4"/>
  <c r="J18" i="4"/>
  <c r="I18" i="4"/>
  <c r="H18" i="4"/>
  <c r="G18" i="4"/>
  <c r="F18" i="4"/>
  <c r="E18" i="4"/>
  <c r="D18" i="4"/>
  <c r="C18" i="4"/>
  <c r="B18" i="4"/>
  <c r="A18" i="4"/>
  <c r="R17" i="4"/>
  <c r="Q17" i="4"/>
  <c r="P17" i="4"/>
  <c r="O17" i="4"/>
  <c r="N17" i="4"/>
  <c r="M17" i="4"/>
  <c r="L17" i="4"/>
  <c r="K17" i="4"/>
  <c r="J17" i="4"/>
  <c r="I17" i="4"/>
  <c r="H17" i="4"/>
  <c r="G17" i="4"/>
  <c r="F17" i="4"/>
  <c r="E17" i="4"/>
  <c r="D17" i="4"/>
  <c r="C17" i="4"/>
  <c r="B17" i="4"/>
  <c r="A17" i="4"/>
  <c r="R16" i="4"/>
  <c r="Q16" i="4"/>
  <c r="P16" i="4"/>
  <c r="O16" i="4"/>
  <c r="N16" i="4"/>
  <c r="M16" i="4"/>
  <c r="L16" i="4"/>
  <c r="K16" i="4"/>
  <c r="J16" i="4"/>
  <c r="I16" i="4"/>
  <c r="H16" i="4"/>
  <c r="G16" i="4"/>
  <c r="F16" i="4"/>
  <c r="E16" i="4"/>
  <c r="D16" i="4"/>
  <c r="C16" i="4"/>
  <c r="B16" i="4"/>
  <c r="A16" i="4"/>
  <c r="R15" i="4"/>
  <c r="Q15" i="4"/>
  <c r="P15" i="4"/>
  <c r="O15" i="4"/>
  <c r="N15" i="4"/>
  <c r="M15" i="4"/>
  <c r="L15" i="4"/>
  <c r="K15" i="4"/>
  <c r="J15" i="4"/>
  <c r="I15" i="4"/>
  <c r="H15" i="4"/>
  <c r="G15" i="4"/>
  <c r="F15" i="4"/>
  <c r="E15" i="4"/>
  <c r="D15" i="4"/>
  <c r="C15" i="4"/>
  <c r="B15" i="4"/>
  <c r="A15" i="4"/>
  <c r="R14" i="4"/>
  <c r="Q14" i="4"/>
  <c r="P14" i="4"/>
  <c r="O14" i="4"/>
  <c r="N14" i="4"/>
  <c r="M14" i="4"/>
  <c r="L14" i="4"/>
  <c r="K14" i="4"/>
  <c r="J14" i="4"/>
  <c r="I14" i="4"/>
  <c r="H14" i="4"/>
  <c r="G14" i="4"/>
  <c r="F14" i="4"/>
  <c r="E14" i="4"/>
  <c r="D14" i="4"/>
  <c r="C14" i="4"/>
  <c r="B14" i="4"/>
  <c r="A14" i="4"/>
  <c r="R13" i="4"/>
  <c r="Q13" i="4"/>
  <c r="P13" i="4"/>
  <c r="O13" i="4"/>
  <c r="N13" i="4"/>
  <c r="M13" i="4"/>
  <c r="L13" i="4"/>
  <c r="K13" i="4"/>
  <c r="J13" i="4"/>
  <c r="I13" i="4"/>
  <c r="H13" i="4"/>
  <c r="G13" i="4"/>
  <c r="F13" i="4"/>
  <c r="E13" i="4"/>
  <c r="D13" i="4"/>
  <c r="C13" i="4"/>
  <c r="B13" i="4"/>
  <c r="A13" i="4"/>
  <c r="R12" i="4"/>
  <c r="Q12" i="4"/>
  <c r="P12" i="4"/>
  <c r="O12" i="4"/>
  <c r="N12" i="4"/>
  <c r="M12" i="4"/>
  <c r="L12" i="4"/>
  <c r="K12" i="4"/>
  <c r="J12" i="4"/>
  <c r="I12" i="4"/>
  <c r="H12" i="4"/>
  <c r="G12" i="4"/>
  <c r="F12" i="4"/>
  <c r="E12" i="4"/>
  <c r="D12" i="4"/>
  <c r="C12" i="4"/>
  <c r="B12" i="4"/>
  <c r="A12" i="4"/>
  <c r="R11" i="4"/>
  <c r="Q11" i="4"/>
  <c r="P11" i="4"/>
  <c r="O11" i="4"/>
  <c r="N11" i="4"/>
  <c r="M11" i="4"/>
  <c r="L11" i="4"/>
  <c r="K11" i="4"/>
  <c r="J11" i="4"/>
  <c r="I11" i="4"/>
  <c r="H11" i="4"/>
  <c r="G11" i="4"/>
  <c r="F11" i="4"/>
  <c r="E11" i="4"/>
  <c r="D11" i="4"/>
  <c r="C11" i="4"/>
  <c r="B11" i="4"/>
  <c r="A11" i="4"/>
  <c r="R10" i="4"/>
  <c r="Q10" i="4"/>
  <c r="P10" i="4"/>
  <c r="O10" i="4"/>
  <c r="N10" i="4"/>
  <c r="M10" i="4"/>
  <c r="L10" i="4"/>
  <c r="K10" i="4"/>
  <c r="J10" i="4"/>
  <c r="I10" i="4"/>
  <c r="H10" i="4"/>
  <c r="G10" i="4"/>
  <c r="F10" i="4"/>
  <c r="E10" i="4"/>
  <c r="D10" i="4"/>
  <c r="C10" i="4"/>
  <c r="B10" i="4"/>
  <c r="A10" i="4"/>
  <c r="R9" i="4"/>
  <c r="Q9" i="4"/>
  <c r="P9" i="4"/>
  <c r="O9" i="4"/>
  <c r="N9" i="4"/>
  <c r="M9" i="4"/>
  <c r="L9" i="4"/>
  <c r="K9" i="4"/>
  <c r="J9" i="4"/>
  <c r="I9" i="4"/>
  <c r="H9" i="4"/>
  <c r="G9" i="4"/>
  <c r="F9" i="4"/>
  <c r="E9" i="4"/>
  <c r="D9" i="4"/>
  <c r="C9" i="4"/>
  <c r="B9" i="4"/>
  <c r="A9" i="4"/>
  <c r="R8" i="4"/>
  <c r="Q8" i="4"/>
  <c r="P8" i="4"/>
  <c r="O8" i="4"/>
  <c r="N8" i="4"/>
  <c r="M8" i="4"/>
  <c r="L8" i="4"/>
  <c r="K8" i="4"/>
  <c r="J8" i="4"/>
  <c r="I8" i="4"/>
  <c r="H8" i="4"/>
  <c r="G8" i="4"/>
  <c r="F8" i="4"/>
  <c r="E8" i="4"/>
  <c r="D8" i="4"/>
  <c r="C8" i="4"/>
  <c r="B8" i="4"/>
  <c r="A8" i="4"/>
  <c r="R7" i="4"/>
  <c r="Q7" i="4"/>
  <c r="P7" i="4"/>
  <c r="O7" i="4"/>
  <c r="N7" i="4"/>
  <c r="M7" i="4"/>
  <c r="L7" i="4"/>
  <c r="K7" i="4"/>
  <c r="J7" i="4"/>
  <c r="I7" i="4"/>
  <c r="H7" i="4"/>
  <c r="G7" i="4"/>
  <c r="F7" i="4"/>
  <c r="E7" i="4"/>
  <c r="D7" i="4"/>
  <c r="C7" i="4"/>
  <c r="B7" i="4"/>
  <c r="A7" i="4"/>
  <c r="R6" i="4"/>
  <c r="Q6" i="4"/>
  <c r="P6" i="4"/>
  <c r="O6" i="4"/>
  <c r="N6" i="4"/>
  <c r="M6" i="4"/>
  <c r="L6" i="4"/>
  <c r="K6" i="4"/>
  <c r="J6" i="4"/>
  <c r="I6" i="4"/>
  <c r="H6" i="4"/>
  <c r="G6" i="4"/>
  <c r="F6" i="4"/>
  <c r="E6" i="4"/>
  <c r="D6" i="4"/>
  <c r="C6" i="4"/>
  <c r="B6" i="4"/>
  <c r="A6" i="4"/>
  <c r="R5" i="4"/>
  <c r="Q5" i="4"/>
  <c r="P5" i="4"/>
  <c r="O5" i="4"/>
  <c r="N5" i="4"/>
  <c r="M5" i="4"/>
  <c r="L5" i="4"/>
  <c r="K5" i="4"/>
  <c r="J5" i="4"/>
  <c r="I5" i="4"/>
  <c r="H5" i="4"/>
  <c r="G5" i="4"/>
  <c r="F5" i="4"/>
  <c r="E5" i="4"/>
  <c r="D5" i="4"/>
  <c r="C5" i="4"/>
  <c r="B5" i="4"/>
  <c r="A5" i="4"/>
  <c r="K4" i="4"/>
  <c r="J4" i="4"/>
  <c r="I4" i="4"/>
  <c r="H4" i="4"/>
  <c r="G4" i="4"/>
  <c r="F4" i="4"/>
  <c r="E4" i="4"/>
  <c r="A4" i="4"/>
  <c r="K48" i="3"/>
  <c r="J48" i="3"/>
  <c r="I48" i="3"/>
  <c r="H48" i="3"/>
  <c r="G48" i="3"/>
  <c r="F48" i="3"/>
  <c r="E48" i="3"/>
  <c r="D48" i="3"/>
  <c r="C48" i="3"/>
  <c r="B48" i="3"/>
  <c r="A48" i="3"/>
  <c r="K47" i="3"/>
  <c r="J47" i="3"/>
  <c r="I47" i="3"/>
  <c r="H47" i="3"/>
  <c r="G47" i="3"/>
  <c r="F47" i="3"/>
  <c r="E47" i="3"/>
  <c r="D47" i="3"/>
  <c r="C47" i="3"/>
  <c r="B47" i="3"/>
  <c r="A47" i="3"/>
  <c r="J46" i="3"/>
  <c r="I46" i="3"/>
  <c r="H46" i="3"/>
  <c r="G46" i="3"/>
  <c r="F46" i="3"/>
  <c r="E46" i="3"/>
  <c r="D46" i="3"/>
  <c r="C46" i="3"/>
  <c r="B46" i="3"/>
  <c r="A46" i="3"/>
  <c r="K45" i="3"/>
  <c r="J45" i="3"/>
  <c r="I45" i="3"/>
  <c r="H45" i="3"/>
  <c r="G45" i="3"/>
  <c r="F45" i="3"/>
  <c r="E45" i="3"/>
  <c r="D45" i="3"/>
  <c r="C45" i="3"/>
  <c r="B45" i="3"/>
  <c r="A45" i="3"/>
  <c r="K44" i="3"/>
  <c r="J44" i="3"/>
  <c r="I44" i="3"/>
  <c r="H44" i="3"/>
  <c r="G44" i="3"/>
  <c r="F44" i="3"/>
  <c r="E44" i="3"/>
  <c r="D44" i="3"/>
  <c r="C44" i="3"/>
  <c r="B44" i="3"/>
  <c r="A44" i="3"/>
  <c r="K43" i="3"/>
  <c r="J43" i="3"/>
  <c r="I43" i="3"/>
  <c r="H43" i="3"/>
  <c r="G43" i="3"/>
  <c r="F43" i="3"/>
  <c r="E43" i="3"/>
  <c r="D43" i="3"/>
  <c r="C43" i="3"/>
  <c r="B43" i="3"/>
  <c r="A43" i="3"/>
  <c r="K42" i="3"/>
  <c r="J42" i="3"/>
  <c r="I42" i="3"/>
  <c r="H42" i="3"/>
  <c r="G42" i="3"/>
  <c r="F42" i="3"/>
  <c r="E42" i="3"/>
  <c r="D42" i="3"/>
  <c r="C42" i="3"/>
  <c r="B42" i="3"/>
  <c r="A42" i="3"/>
  <c r="K41" i="3"/>
  <c r="J41" i="3"/>
  <c r="I41" i="3"/>
  <c r="H41" i="3"/>
  <c r="G41" i="3"/>
  <c r="F41" i="3"/>
  <c r="E41" i="3"/>
  <c r="D41" i="3"/>
  <c r="C41" i="3"/>
  <c r="B41" i="3"/>
  <c r="A41" i="3"/>
  <c r="K40" i="3"/>
  <c r="J40" i="3"/>
  <c r="I40" i="3"/>
  <c r="H40" i="3"/>
  <c r="G40" i="3"/>
  <c r="F40" i="3"/>
  <c r="E40" i="3"/>
  <c r="D40" i="3"/>
  <c r="C40" i="3"/>
  <c r="B40" i="3"/>
  <c r="A40" i="3"/>
  <c r="K39" i="3"/>
  <c r="J39" i="3"/>
  <c r="I39" i="3"/>
  <c r="H39" i="3"/>
  <c r="G39" i="3"/>
  <c r="F39" i="3"/>
  <c r="E39" i="3"/>
  <c r="D39" i="3"/>
  <c r="C39" i="3"/>
  <c r="B39" i="3"/>
  <c r="A39" i="3"/>
  <c r="K38" i="3"/>
  <c r="J38" i="3"/>
  <c r="I38" i="3"/>
  <c r="H38" i="3"/>
  <c r="G38" i="3"/>
  <c r="F38" i="3"/>
  <c r="E38" i="3"/>
  <c r="D38" i="3"/>
  <c r="C38" i="3"/>
  <c r="B38" i="3"/>
  <c r="A38" i="3"/>
  <c r="K37" i="3"/>
  <c r="J37" i="3"/>
  <c r="I37" i="3"/>
  <c r="H37" i="3"/>
  <c r="G37" i="3"/>
  <c r="F37" i="3"/>
  <c r="E37" i="3"/>
  <c r="D37" i="3"/>
  <c r="C37" i="3"/>
  <c r="B37" i="3"/>
  <c r="A37" i="3"/>
  <c r="K36" i="3"/>
  <c r="J36" i="3"/>
  <c r="I36" i="3"/>
  <c r="H36" i="3"/>
  <c r="G36" i="3"/>
  <c r="F36" i="3"/>
  <c r="E36" i="3"/>
  <c r="D36" i="3"/>
  <c r="C36" i="3"/>
  <c r="B36" i="3"/>
  <c r="A36" i="3"/>
  <c r="H35" i="3"/>
  <c r="G35" i="3"/>
  <c r="F35" i="3"/>
  <c r="E35" i="3"/>
  <c r="D35" i="3"/>
  <c r="C35" i="3"/>
  <c r="B35" i="3"/>
  <c r="A35" i="3"/>
  <c r="K34" i="3"/>
  <c r="J34" i="3"/>
  <c r="I34" i="3"/>
  <c r="H34" i="3"/>
  <c r="G34" i="3"/>
  <c r="F34" i="3"/>
  <c r="E34" i="3"/>
  <c r="D34" i="3"/>
  <c r="C34" i="3"/>
  <c r="B34" i="3"/>
  <c r="A34" i="3"/>
  <c r="K33" i="3"/>
  <c r="J33" i="3"/>
  <c r="I33" i="3"/>
  <c r="H33" i="3"/>
  <c r="G33" i="3"/>
  <c r="F33" i="3"/>
  <c r="E33" i="3"/>
  <c r="D33" i="3"/>
  <c r="C33" i="3"/>
  <c r="B33" i="3"/>
  <c r="A33" i="3"/>
  <c r="H32" i="3"/>
  <c r="G32" i="3"/>
  <c r="F32" i="3"/>
  <c r="E32" i="3"/>
  <c r="D32" i="3"/>
  <c r="C32" i="3"/>
  <c r="B32" i="3"/>
  <c r="A32" i="3"/>
  <c r="K31" i="3"/>
  <c r="J31" i="3"/>
  <c r="I31" i="3"/>
  <c r="H31" i="3"/>
  <c r="G31" i="3"/>
  <c r="F31" i="3"/>
  <c r="E31" i="3"/>
  <c r="D31" i="3"/>
  <c r="C31" i="3"/>
  <c r="B31" i="3"/>
  <c r="A31" i="3"/>
  <c r="K30" i="3"/>
  <c r="J30" i="3"/>
  <c r="I30" i="3"/>
  <c r="H30" i="3"/>
  <c r="G30" i="3"/>
  <c r="F30" i="3"/>
  <c r="E30" i="3"/>
  <c r="D30" i="3"/>
  <c r="C30" i="3"/>
  <c r="B30" i="3"/>
  <c r="A30" i="3"/>
  <c r="K29" i="3"/>
  <c r="J29" i="3"/>
  <c r="I29" i="3"/>
  <c r="H29" i="3"/>
  <c r="G29" i="3"/>
  <c r="F29" i="3"/>
  <c r="E29" i="3"/>
  <c r="D29" i="3"/>
  <c r="C29" i="3"/>
  <c r="B29" i="3"/>
  <c r="A29" i="3"/>
  <c r="K28" i="3"/>
  <c r="J28" i="3"/>
  <c r="I28" i="3"/>
  <c r="H28" i="3"/>
  <c r="G28" i="3"/>
  <c r="F28" i="3"/>
  <c r="E28" i="3"/>
  <c r="D28" i="3"/>
  <c r="C28" i="3"/>
  <c r="B28" i="3"/>
  <c r="A28" i="3"/>
  <c r="K27" i="3"/>
  <c r="J27" i="3"/>
  <c r="I27" i="3"/>
  <c r="H27" i="3"/>
  <c r="G27" i="3"/>
  <c r="F27" i="3"/>
  <c r="E27" i="3"/>
  <c r="D27" i="3"/>
  <c r="C27" i="3"/>
  <c r="B27" i="3"/>
  <c r="A27" i="3"/>
  <c r="K26" i="3"/>
  <c r="J26" i="3"/>
  <c r="I26" i="3"/>
  <c r="H26" i="3"/>
  <c r="G26" i="3"/>
  <c r="F26" i="3"/>
  <c r="E26" i="3"/>
  <c r="D26" i="3"/>
  <c r="C26" i="3"/>
  <c r="B26" i="3"/>
  <c r="A26" i="3"/>
  <c r="K25" i="3"/>
  <c r="J25" i="3"/>
  <c r="I25" i="3"/>
  <c r="H25" i="3"/>
  <c r="G25" i="3"/>
  <c r="F25" i="3"/>
  <c r="E25" i="3"/>
  <c r="D25" i="3"/>
  <c r="C25" i="3"/>
  <c r="B25" i="3"/>
  <c r="A25" i="3"/>
  <c r="K24" i="3"/>
  <c r="J24" i="3"/>
  <c r="I24" i="3"/>
  <c r="H24" i="3"/>
  <c r="G24" i="3"/>
  <c r="F24" i="3"/>
  <c r="E24" i="3"/>
  <c r="D24" i="3"/>
  <c r="C24" i="3"/>
  <c r="B24" i="3"/>
  <c r="A24" i="3"/>
  <c r="K23" i="3"/>
  <c r="J23" i="3"/>
  <c r="I23" i="3"/>
  <c r="H23" i="3"/>
  <c r="G23" i="3"/>
  <c r="F23" i="3"/>
  <c r="E23" i="3"/>
  <c r="D23" i="3"/>
  <c r="C23" i="3"/>
  <c r="B23" i="3"/>
  <c r="A23" i="3"/>
  <c r="K22" i="3"/>
  <c r="J22" i="3"/>
  <c r="I22" i="3"/>
  <c r="H22" i="3"/>
  <c r="G22" i="3"/>
  <c r="F22" i="3"/>
  <c r="E22" i="3"/>
  <c r="D22" i="3"/>
  <c r="C22" i="3"/>
  <c r="B22" i="3"/>
  <c r="A22" i="3"/>
  <c r="K21" i="3"/>
  <c r="J21" i="3"/>
  <c r="I21" i="3"/>
  <c r="H21" i="3"/>
  <c r="G21" i="3"/>
  <c r="F21" i="3"/>
  <c r="E21" i="3"/>
  <c r="D21" i="3"/>
  <c r="C21" i="3"/>
  <c r="B21" i="3"/>
  <c r="A21" i="3"/>
  <c r="K20" i="3"/>
  <c r="J20" i="3"/>
  <c r="I20" i="3"/>
  <c r="H20" i="3"/>
  <c r="G20" i="3"/>
  <c r="F20" i="3"/>
  <c r="E20" i="3"/>
  <c r="D20" i="3"/>
  <c r="C20" i="3"/>
  <c r="B20" i="3"/>
  <c r="A20" i="3"/>
  <c r="K19" i="3"/>
  <c r="J19" i="3"/>
  <c r="I19" i="3"/>
  <c r="H19" i="3"/>
  <c r="G19" i="3"/>
  <c r="F19" i="3"/>
  <c r="E19" i="3"/>
  <c r="D19" i="3"/>
  <c r="C19" i="3"/>
  <c r="B19" i="3"/>
  <c r="A19" i="3"/>
  <c r="K18" i="3"/>
  <c r="J18" i="3"/>
  <c r="I18" i="3"/>
  <c r="H18" i="3"/>
  <c r="G18" i="3"/>
  <c r="F18" i="3"/>
  <c r="E18" i="3"/>
  <c r="D18" i="3"/>
  <c r="C18" i="3"/>
  <c r="B18" i="3"/>
  <c r="A18" i="3"/>
  <c r="K17" i="3"/>
  <c r="J17" i="3"/>
  <c r="I17" i="3"/>
  <c r="H17" i="3"/>
  <c r="G17" i="3"/>
  <c r="F17" i="3"/>
  <c r="E17" i="3"/>
  <c r="D17" i="3"/>
  <c r="C17" i="3"/>
  <c r="B17" i="3"/>
  <c r="A17" i="3"/>
  <c r="K16" i="3"/>
  <c r="J16" i="3"/>
  <c r="I16" i="3"/>
  <c r="H16" i="3"/>
  <c r="G16" i="3"/>
  <c r="F16" i="3"/>
  <c r="E16" i="3"/>
  <c r="D16" i="3"/>
  <c r="C16" i="3"/>
  <c r="B16" i="3"/>
  <c r="A16" i="3"/>
  <c r="K15" i="3"/>
  <c r="J15" i="3"/>
  <c r="I15" i="3"/>
  <c r="H15" i="3"/>
  <c r="G15" i="3"/>
  <c r="F15" i="3"/>
  <c r="E15" i="3"/>
  <c r="D15" i="3"/>
  <c r="C15" i="3"/>
  <c r="B15" i="3"/>
  <c r="A15" i="3"/>
  <c r="K14" i="3"/>
  <c r="J14" i="3"/>
  <c r="I14" i="3"/>
  <c r="H14" i="3"/>
  <c r="G14" i="3"/>
  <c r="F14" i="3"/>
  <c r="E14" i="3"/>
  <c r="D14" i="3"/>
  <c r="C14" i="3"/>
  <c r="B14" i="3"/>
  <c r="A14" i="3"/>
  <c r="K13" i="3"/>
  <c r="J13" i="3"/>
  <c r="I13" i="3"/>
  <c r="H13" i="3"/>
  <c r="G13" i="3"/>
  <c r="F13" i="3"/>
  <c r="E13" i="3"/>
  <c r="D13" i="3"/>
  <c r="C13" i="3"/>
  <c r="B13" i="3"/>
  <c r="A13" i="3"/>
  <c r="K12" i="3"/>
  <c r="J12" i="3"/>
  <c r="I12" i="3"/>
  <c r="H12" i="3"/>
  <c r="G12" i="3"/>
  <c r="F12" i="3"/>
  <c r="E12" i="3"/>
  <c r="D12" i="3"/>
  <c r="C12" i="3"/>
  <c r="B12" i="3"/>
  <c r="A12" i="3"/>
  <c r="K11" i="3"/>
  <c r="J11" i="3"/>
  <c r="I11" i="3"/>
  <c r="H11" i="3"/>
  <c r="G11" i="3"/>
  <c r="F11" i="3"/>
  <c r="E11" i="3"/>
  <c r="D11" i="3"/>
  <c r="C11" i="3"/>
  <c r="B11" i="3"/>
  <c r="A11" i="3"/>
  <c r="K10" i="3"/>
  <c r="J10" i="3"/>
  <c r="I10" i="3"/>
  <c r="H10" i="3"/>
  <c r="G10" i="3"/>
  <c r="F10" i="3"/>
  <c r="E10" i="3"/>
  <c r="D10" i="3"/>
  <c r="C10" i="3"/>
  <c r="B10" i="3"/>
  <c r="A10" i="3"/>
  <c r="K9" i="3"/>
  <c r="J9" i="3"/>
  <c r="I9" i="3"/>
  <c r="H9" i="3"/>
  <c r="G9" i="3"/>
  <c r="F9" i="3"/>
  <c r="E9" i="3"/>
  <c r="D9" i="3"/>
  <c r="C9" i="3"/>
  <c r="B9" i="3"/>
  <c r="A9" i="3"/>
  <c r="K8" i="3"/>
  <c r="J8" i="3"/>
  <c r="I8" i="3"/>
  <c r="H8" i="3"/>
  <c r="G8" i="3"/>
  <c r="F8" i="3"/>
  <c r="E8" i="3"/>
  <c r="D8" i="3"/>
  <c r="C8" i="3"/>
  <c r="B8" i="3"/>
  <c r="A8" i="3"/>
  <c r="K7" i="3"/>
  <c r="J7" i="3"/>
  <c r="I7" i="3"/>
  <c r="H7" i="3"/>
  <c r="G7" i="3"/>
  <c r="F7" i="3"/>
  <c r="E7" i="3"/>
  <c r="D7" i="3"/>
  <c r="C7" i="3"/>
  <c r="B7" i="3"/>
  <c r="A7" i="3"/>
  <c r="K6" i="3"/>
  <c r="J6" i="3"/>
  <c r="I6" i="3"/>
  <c r="H6" i="3"/>
  <c r="G6" i="3"/>
  <c r="F6" i="3"/>
  <c r="E6" i="3"/>
  <c r="D6" i="3"/>
  <c r="C6" i="3"/>
  <c r="B6" i="3"/>
  <c r="A6" i="3"/>
  <c r="K5" i="3"/>
  <c r="J5" i="3"/>
  <c r="I5" i="3"/>
  <c r="H5" i="3"/>
  <c r="G5" i="3"/>
  <c r="F5" i="3"/>
  <c r="E5" i="3"/>
  <c r="D5" i="3"/>
  <c r="C5" i="3"/>
  <c r="B5" i="3"/>
  <c r="A5" i="3"/>
  <c r="K4" i="3"/>
  <c r="J4" i="3"/>
  <c r="I4" i="3"/>
  <c r="H4" i="3"/>
  <c r="G4" i="3"/>
  <c r="F4" i="3"/>
  <c r="E4" i="3"/>
  <c r="D4" i="3"/>
  <c r="C4" i="3"/>
  <c r="B4" i="3"/>
  <c r="A4" i="3"/>
  <c r="K3" i="3"/>
  <c r="J3" i="3"/>
  <c r="I3" i="3"/>
  <c r="H3" i="3"/>
  <c r="G3" i="3"/>
  <c r="F3" i="3"/>
  <c r="E3" i="3"/>
  <c r="D3" i="3"/>
  <c r="C3" i="3"/>
  <c r="B3" i="3"/>
  <c r="A3" i="3"/>
  <c r="K37" i="2"/>
  <c r="J37" i="2"/>
  <c r="I37" i="2"/>
  <c r="H37" i="2"/>
  <c r="G37" i="2"/>
  <c r="F37" i="2"/>
  <c r="E37" i="2"/>
  <c r="D37" i="2"/>
  <c r="C37" i="2"/>
  <c r="B37" i="2"/>
  <c r="A37" i="2"/>
  <c r="J36" i="2"/>
  <c r="I36" i="2"/>
  <c r="H36" i="2"/>
  <c r="G36" i="2"/>
  <c r="F36" i="2"/>
  <c r="E36" i="2"/>
  <c r="D36" i="2"/>
  <c r="C36" i="2"/>
  <c r="B36" i="2"/>
  <c r="A36" i="2"/>
  <c r="K35" i="2"/>
  <c r="J35" i="2"/>
  <c r="I35" i="2"/>
  <c r="H35" i="2"/>
  <c r="G35" i="2"/>
  <c r="F35" i="2"/>
  <c r="E35" i="2"/>
  <c r="D35" i="2"/>
  <c r="C35" i="2"/>
  <c r="B35" i="2"/>
  <c r="A35" i="2"/>
  <c r="K34" i="2"/>
  <c r="J34" i="2"/>
  <c r="I34" i="2"/>
  <c r="H34" i="2"/>
  <c r="G34" i="2"/>
  <c r="F34" i="2"/>
  <c r="E34" i="2"/>
  <c r="D34" i="2"/>
  <c r="C34" i="2"/>
  <c r="B34" i="2"/>
  <c r="A34" i="2"/>
  <c r="K33" i="2"/>
  <c r="J33" i="2"/>
  <c r="I33" i="2"/>
  <c r="H33" i="2"/>
  <c r="G33" i="2"/>
  <c r="F33" i="2"/>
  <c r="E33" i="2"/>
  <c r="D33" i="2"/>
  <c r="C33" i="2"/>
  <c r="B33" i="2"/>
  <c r="A33" i="2"/>
  <c r="K32" i="2"/>
  <c r="J32" i="2"/>
  <c r="I32" i="2"/>
  <c r="H32" i="2"/>
  <c r="G32" i="2"/>
  <c r="F32" i="2"/>
  <c r="E32" i="2"/>
  <c r="D32" i="2"/>
  <c r="C32" i="2"/>
  <c r="B32" i="2"/>
  <c r="A32" i="2"/>
  <c r="K31" i="2"/>
  <c r="J31" i="2"/>
  <c r="I31" i="2"/>
  <c r="H31" i="2"/>
  <c r="G31" i="2"/>
  <c r="F31" i="2"/>
  <c r="E31" i="2"/>
  <c r="D31" i="2"/>
  <c r="C31" i="2"/>
  <c r="B31" i="2"/>
  <c r="A31" i="2"/>
  <c r="K30" i="2"/>
  <c r="J30" i="2"/>
  <c r="I30" i="2"/>
  <c r="H30" i="2"/>
  <c r="G30" i="2"/>
  <c r="F30" i="2"/>
  <c r="E30" i="2"/>
  <c r="D30" i="2"/>
  <c r="C30" i="2"/>
  <c r="B30" i="2"/>
  <c r="A30" i="2"/>
  <c r="K29" i="2"/>
  <c r="J29" i="2"/>
  <c r="I29" i="2"/>
  <c r="H29" i="2"/>
  <c r="G29" i="2"/>
  <c r="F29" i="2"/>
  <c r="E29" i="2"/>
  <c r="D29" i="2"/>
  <c r="C29" i="2"/>
  <c r="B29" i="2"/>
  <c r="A29" i="2"/>
  <c r="K28" i="2"/>
  <c r="J28" i="2"/>
  <c r="I28" i="2"/>
  <c r="H28" i="2"/>
  <c r="G28" i="2"/>
  <c r="F28" i="2"/>
  <c r="E28" i="2"/>
  <c r="D28" i="2"/>
  <c r="C28" i="2"/>
  <c r="B28" i="2"/>
  <c r="A28" i="2"/>
  <c r="H27" i="2"/>
  <c r="G27" i="2"/>
  <c r="F27" i="2"/>
  <c r="E27" i="2"/>
  <c r="D27" i="2"/>
  <c r="C27" i="2"/>
  <c r="B27" i="2"/>
  <c r="A27" i="2"/>
  <c r="K26" i="2"/>
  <c r="J26" i="2"/>
  <c r="I26" i="2"/>
  <c r="H26" i="2"/>
  <c r="G26" i="2"/>
  <c r="F26" i="2"/>
  <c r="E26" i="2"/>
  <c r="D26" i="2"/>
  <c r="C26" i="2"/>
  <c r="B26" i="2"/>
  <c r="A26" i="2"/>
  <c r="K25" i="2"/>
  <c r="J25" i="2"/>
  <c r="I25" i="2"/>
  <c r="H25" i="2"/>
  <c r="G25" i="2"/>
  <c r="F25" i="2"/>
  <c r="E25" i="2"/>
  <c r="D25" i="2"/>
  <c r="C25" i="2"/>
  <c r="B25" i="2"/>
  <c r="A25" i="2"/>
  <c r="K24" i="2"/>
  <c r="J24" i="2"/>
  <c r="I24" i="2"/>
  <c r="H24" i="2"/>
  <c r="G24" i="2"/>
  <c r="F24" i="2"/>
  <c r="E24" i="2"/>
  <c r="D24" i="2"/>
  <c r="C24" i="2"/>
  <c r="B24" i="2"/>
  <c r="A24" i="2"/>
  <c r="K23" i="2"/>
  <c r="J23" i="2"/>
  <c r="I23" i="2"/>
  <c r="H23" i="2"/>
  <c r="G23" i="2"/>
  <c r="F23" i="2"/>
  <c r="E23" i="2"/>
  <c r="D23" i="2"/>
  <c r="C23" i="2"/>
  <c r="B23" i="2"/>
  <c r="A23" i="2"/>
  <c r="K22" i="2"/>
  <c r="J22" i="2"/>
  <c r="I22" i="2"/>
  <c r="H22" i="2"/>
  <c r="G22" i="2"/>
  <c r="F22" i="2"/>
  <c r="E22" i="2"/>
  <c r="D22" i="2"/>
  <c r="C22" i="2"/>
  <c r="B22" i="2"/>
  <c r="A22" i="2"/>
  <c r="K21" i="2"/>
  <c r="J21" i="2"/>
  <c r="I21" i="2"/>
  <c r="H21" i="2"/>
  <c r="G21" i="2"/>
  <c r="F21" i="2"/>
  <c r="E21" i="2"/>
  <c r="D21" i="2"/>
  <c r="C21" i="2"/>
  <c r="B21" i="2"/>
  <c r="A21" i="2"/>
  <c r="K20" i="2"/>
  <c r="J20" i="2"/>
  <c r="I20" i="2"/>
  <c r="H20" i="2"/>
  <c r="G20" i="2"/>
  <c r="F20" i="2"/>
  <c r="E20" i="2"/>
  <c r="D20" i="2"/>
  <c r="C20" i="2"/>
  <c r="B20" i="2"/>
  <c r="A20" i="2"/>
  <c r="K19" i="2"/>
  <c r="J19" i="2"/>
  <c r="I19" i="2"/>
  <c r="H19" i="2"/>
  <c r="G19" i="2"/>
  <c r="F19" i="2"/>
  <c r="E19" i="2"/>
  <c r="D19" i="2"/>
  <c r="C19" i="2"/>
  <c r="B19" i="2"/>
  <c r="A19" i="2"/>
  <c r="K18" i="2"/>
  <c r="J18" i="2"/>
  <c r="I18" i="2"/>
  <c r="H18" i="2"/>
  <c r="G18" i="2"/>
  <c r="F18" i="2"/>
  <c r="E18" i="2"/>
  <c r="D18" i="2"/>
  <c r="C18" i="2"/>
  <c r="B18" i="2"/>
  <c r="A18" i="2"/>
  <c r="K17" i="2"/>
  <c r="J17" i="2"/>
  <c r="I17" i="2"/>
  <c r="H17" i="2"/>
  <c r="G17" i="2"/>
  <c r="F17" i="2"/>
  <c r="E17" i="2"/>
  <c r="D17" i="2"/>
  <c r="C17" i="2"/>
  <c r="B17" i="2"/>
  <c r="A17" i="2"/>
  <c r="K16" i="2"/>
  <c r="J16" i="2"/>
  <c r="I16" i="2"/>
  <c r="H16" i="2"/>
  <c r="G16" i="2"/>
  <c r="F16" i="2"/>
  <c r="E16" i="2"/>
  <c r="D16" i="2"/>
  <c r="C16" i="2"/>
  <c r="B16" i="2"/>
  <c r="A16" i="2"/>
  <c r="K15" i="2"/>
  <c r="J15" i="2"/>
  <c r="I15" i="2"/>
  <c r="H15" i="2"/>
  <c r="G15" i="2"/>
  <c r="F15" i="2"/>
  <c r="E15" i="2"/>
  <c r="D15" i="2"/>
  <c r="C15" i="2"/>
  <c r="B15" i="2"/>
  <c r="A15" i="2"/>
  <c r="K14" i="2"/>
  <c r="J14" i="2"/>
  <c r="I14" i="2"/>
  <c r="H14" i="2"/>
  <c r="G14" i="2"/>
  <c r="F14" i="2"/>
  <c r="E14" i="2"/>
  <c r="D14" i="2"/>
  <c r="C14" i="2"/>
  <c r="B14" i="2"/>
  <c r="A14" i="2"/>
  <c r="K13" i="2"/>
  <c r="J13" i="2"/>
  <c r="I13" i="2"/>
  <c r="H13" i="2"/>
  <c r="G13" i="2"/>
  <c r="F13" i="2"/>
  <c r="E13" i="2"/>
  <c r="D13" i="2"/>
  <c r="C13" i="2"/>
  <c r="B13" i="2"/>
  <c r="A13" i="2"/>
  <c r="K12" i="2"/>
  <c r="J12" i="2"/>
  <c r="I12" i="2"/>
  <c r="H12" i="2"/>
  <c r="G12" i="2"/>
  <c r="F12" i="2"/>
  <c r="E12" i="2"/>
  <c r="D12" i="2"/>
  <c r="C12" i="2"/>
  <c r="B12" i="2"/>
  <c r="A12" i="2"/>
  <c r="K11" i="2"/>
  <c r="J11" i="2"/>
  <c r="I11" i="2"/>
  <c r="H11" i="2"/>
  <c r="G11" i="2"/>
  <c r="F11" i="2"/>
  <c r="E11" i="2"/>
  <c r="D11" i="2"/>
  <c r="C11" i="2"/>
  <c r="B11" i="2"/>
  <c r="A11" i="2"/>
  <c r="K10" i="2"/>
  <c r="J10" i="2"/>
  <c r="I10" i="2"/>
  <c r="H10" i="2"/>
  <c r="G10" i="2"/>
  <c r="F10" i="2"/>
  <c r="E10" i="2"/>
  <c r="D10" i="2"/>
  <c r="C10" i="2"/>
  <c r="B10" i="2"/>
  <c r="A10" i="2"/>
  <c r="K9" i="2"/>
  <c r="J9" i="2"/>
  <c r="I9" i="2"/>
  <c r="H9" i="2"/>
  <c r="G9" i="2"/>
  <c r="F9" i="2"/>
  <c r="E9" i="2"/>
  <c r="D9" i="2"/>
  <c r="C9" i="2"/>
  <c r="B9" i="2"/>
  <c r="A9" i="2"/>
  <c r="K8" i="2"/>
  <c r="J8" i="2"/>
  <c r="I8" i="2"/>
  <c r="H8" i="2"/>
  <c r="G8" i="2"/>
  <c r="F8" i="2"/>
  <c r="E8" i="2"/>
  <c r="D8" i="2"/>
  <c r="C8" i="2"/>
  <c r="B8" i="2"/>
  <c r="A8" i="2"/>
  <c r="K7" i="2"/>
  <c r="J7" i="2"/>
  <c r="I7" i="2"/>
  <c r="H7" i="2"/>
  <c r="G7" i="2"/>
  <c r="F7" i="2"/>
  <c r="E7" i="2"/>
  <c r="D7" i="2"/>
  <c r="C7" i="2"/>
  <c r="B7" i="2"/>
  <c r="A7" i="2"/>
  <c r="K6" i="2"/>
  <c r="J6" i="2"/>
  <c r="I6" i="2"/>
  <c r="H6" i="2"/>
  <c r="G6" i="2"/>
  <c r="F6" i="2"/>
  <c r="E6" i="2"/>
  <c r="D6" i="2"/>
  <c r="C6" i="2"/>
  <c r="B6" i="2"/>
  <c r="A6" i="2"/>
  <c r="K5" i="2"/>
  <c r="J5" i="2"/>
  <c r="I5" i="2"/>
  <c r="H5" i="2"/>
  <c r="G5" i="2"/>
  <c r="F5" i="2"/>
  <c r="E5" i="2"/>
  <c r="D5" i="2"/>
  <c r="C5" i="2"/>
  <c r="B5" i="2"/>
  <c r="A5" i="2"/>
  <c r="K4" i="2"/>
  <c r="J4" i="2"/>
  <c r="I4" i="2"/>
  <c r="H4" i="2"/>
  <c r="G4" i="2"/>
  <c r="F4" i="2"/>
  <c r="E4" i="2"/>
  <c r="D4" i="2"/>
  <c r="C4" i="2"/>
  <c r="B4" i="2"/>
  <c r="A4" i="2"/>
  <c r="K3" i="2"/>
  <c r="J3" i="2"/>
  <c r="I3" i="2"/>
  <c r="H3" i="2"/>
  <c r="G3" i="2"/>
  <c r="F3" i="2"/>
  <c r="E3" i="2"/>
  <c r="D3" i="2"/>
  <c r="C3" i="2"/>
  <c r="B3" i="2"/>
  <c r="A3" i="2"/>
</calcChain>
</file>

<file path=xl/sharedStrings.xml><?xml version="1.0" encoding="utf-8"?>
<sst xmlns="http://schemas.openxmlformats.org/spreadsheetml/2006/main" count="119" uniqueCount="59">
  <si>
    <r>
      <rPr>
        <b/>
        <sz val="18"/>
        <color rgb="FFFF0000"/>
        <rFont val="Calibri"/>
      </rPr>
      <t>Warning: </t>
    </r>
    <r>
      <rPr>
        <sz val="18"/>
        <color rgb="FFFF0000"/>
        <rFont val="Calibri"/>
      </rPr>
      <t>It is strictly prohibited to send emails by way of the following Pool Links if you are not an authorized Government official. Unauthorized personnel may contact the Prime Contract holders individually but not through the use of the following Pool Links.</t>
    </r>
  </si>
  <si>
    <r>
      <rPr>
        <b/>
        <sz val="14"/>
        <color rgb="FF1B1B1B"/>
        <rFont val="Calibri"/>
      </rPr>
      <t>To issue an RFP or RFI</t>
    </r>
    <r>
      <rPr>
        <sz val="14"/>
        <color rgb="FF1B1B1B"/>
        <rFont val="Calibri"/>
      </rPr>
      <t xml:space="preserve">, the following HCaTS Unrestricted (U), HCaTS Small Business (SB), and HCaTS 8(a) Pool Links generate a group email to all of the official Points of Contact for each prime contract holder in the respective vehicle and pool. 
</t>
    </r>
    <r>
      <rPr>
        <b/>
        <sz val="14"/>
        <color rgb="FF1B1B1B"/>
        <rFont val="Calibri"/>
      </rPr>
      <t>Important: </t>
    </r>
    <r>
      <rPr>
        <sz val="14"/>
        <color rgb="FF1B1B1B"/>
        <rFont val="Calibri"/>
      </rPr>
      <t xml:space="preserve">Each pool is a separate Multiple Award Task Order Contract. When issuing an RFP, only one contract vehicle (HCaTS U, HCaTS SB, or HCaTS 8(a)) and one pool (1 or 2) can be solicited.  RFIs may be issued to any and/or all vehicles and pools.
</t>
    </r>
    <r>
      <rPr>
        <b/>
        <sz val="14"/>
        <color rgb="FF1B1B1B"/>
        <rFont val="Calibri"/>
      </rPr>
      <t>Note:</t>
    </r>
    <r>
      <rPr>
        <sz val="14"/>
        <color rgb="FF1B1B1B"/>
        <rFont val="Calibri"/>
      </rPr>
      <t xml:space="preserve">  If clicking on the email link does not automatically open a draft email, please copy and paste the link into your email To: line.</t>
    </r>
  </si>
  <si>
    <t>Task Order Type</t>
  </si>
  <si>
    <t>Pool 1
NAICS Codes: 611430, 611699, 624310</t>
  </si>
  <si>
    <t xml:space="preserve">Pool 2
NAICS Codes: 541611, 541612, 541613, 541618, 611710 </t>
  </si>
  <si>
    <t>Full and Open Task Orders:</t>
  </si>
  <si>
    <t>hcats_unrestricted_pool_1_contractors@gsa.gov</t>
  </si>
  <si>
    <t>hcats_unrestricted_pool_2_contractors@gsa.gov</t>
  </si>
  <si>
    <t>Small Business Competitive Set-Aside Task Orders (WOSB/EDWOSB/HubZone/VOSB/SDVOSB sub-set-aside):</t>
  </si>
  <si>
    <t>hcats_small_business_pool_1_contractors@gsa.gov</t>
  </si>
  <si>
    <t>hcats_small_business_pool_2_contractors@gsa.gov</t>
  </si>
  <si>
    <t>For 8(a) Small Business Competitive Set-Aside Task Orders:</t>
  </si>
  <si>
    <t>hcats_8a_pool_1_contractors@gsa.gov</t>
  </si>
  <si>
    <t>hcats_8a_pool_2_contractors@gsa.gov</t>
  </si>
  <si>
    <r>
      <rPr>
        <b/>
        <sz val="14"/>
        <color rgb="FF1B1B1B"/>
        <rFont val="Calibri"/>
      </rPr>
      <t xml:space="preserve">*For Small Business or 8(a) Sole Source type task orders, contact the prospective contractor individually using the contact information from the tabs included in this file.
**NOTE: </t>
    </r>
    <r>
      <rPr>
        <sz val="14"/>
        <color rgb="FF1B1B1B"/>
        <rFont val="Calibri"/>
      </rPr>
      <t>Only an authorized Government official who has a Delegation of Procurement Authority (DPA) for HCaTS contracts may solicit, award, and administer a task order under the HCaTS contracts.  To register for DPA training and download the HCaTS Ordering Guide, please visit the HCaTS website (gsa.gov/hcats).</t>
    </r>
  </si>
  <si>
    <t>HCaTS Unrestricted - Pool 1 - Contractors  (Task Order NAICS Codes: 611430, 611699, 624310)</t>
  </si>
  <si>
    <t>HCaTS Unrestricted
Pool 1 Contract#</t>
  </si>
  <si>
    <t xml:space="preserve">HCaTS Company Name </t>
  </si>
  <si>
    <t>DUNS#</t>
  </si>
  <si>
    <t>Address</t>
  </si>
  <si>
    <t>Shared Email</t>
  </si>
  <si>
    <t>Key Personnel #1 
(Project Manager)</t>
  </si>
  <si>
    <t>Key#1 Email</t>
  </si>
  <si>
    <t>Key#1 Phone</t>
  </si>
  <si>
    <t>Key Personnel #2
(Contract Manager)</t>
  </si>
  <si>
    <t>Key#2 Email</t>
  </si>
  <si>
    <t>Key#2 Phone</t>
  </si>
  <si>
    <t>HCaTS Unrestricted - Pool 2 - Contractors  (Task Order NAICS Codes: 541611, 541612, 541613, 541618, 611710)</t>
  </si>
  <si>
    <t>HCaTS Unrestricted
Pool 2 Contract#</t>
  </si>
  <si>
    <t>HCaTS Small Business - Pool 1 - Contractors  (Task Order NAICS Codes: 611430, 611699, 624310)</t>
  </si>
  <si>
    <t>HCaTS SB
Pool 1 Contract#</t>
  </si>
  <si>
    <t>Socioeconomic Status</t>
  </si>
  <si>
    <t>SDB</t>
  </si>
  <si>
    <t>HUB Zone</t>
  </si>
  <si>
    <t>VOSB</t>
  </si>
  <si>
    <t>SD VOSB</t>
  </si>
  <si>
    <t>VETS 1st Cert</t>
  </si>
  <si>
    <t>WOSB</t>
  </si>
  <si>
    <t>ED WOSB</t>
  </si>
  <si>
    <t>HCaTS Small Business - Pool 2 - Contractors  (Task Order NAICS Codes: 541611, 541612, 541613, 541618, 611710)</t>
  </si>
  <si>
    <t>HCaTS SB
Pool 2 Contract#</t>
  </si>
  <si>
    <t>HCaTS 8(a) - Pool 1 - Contractors  (Task Order NAICS Codes: 611430, 611699, 624310)</t>
  </si>
  <si>
    <t>HCaTS 8(a) 
Pool 1 Contract#</t>
  </si>
  <si>
    <t>HCaTS 8(a)- Pool 2 - Contractors  (Task Order NAICS Codes: 541611, 541612, 541613, 541618, 611710)</t>
  </si>
  <si>
    <t>HCaTS 8(a)
Pool 2 Contract#</t>
  </si>
  <si>
    <t>The following contracts are currently in Dormant Status. The listed contractors may NOT compete for or be awarded a new task order under the referenced contract number.  The contractor may have other contract numbers that are active and eligible for new task order awards.</t>
  </si>
  <si>
    <t>Vehicle</t>
  </si>
  <si>
    <t>Pool#</t>
  </si>
  <si>
    <t>Company Name</t>
  </si>
  <si>
    <t>Contract Number</t>
  </si>
  <si>
    <t>Status</t>
  </si>
  <si>
    <t>SB</t>
  </si>
  <si>
    <t>Pool 2</t>
  </si>
  <si>
    <t xml:space="preserve">Evolution Management, Inc. </t>
  </si>
  <si>
    <t>47QREB22D0004</t>
  </si>
  <si>
    <t>8(a)</t>
  </si>
  <si>
    <t>Pool 1</t>
  </si>
  <si>
    <t>47QREB21D0006</t>
  </si>
  <si>
    <t>Terminated (Contractor Closed)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</si>
</sst>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00000"/>
  </numFmts>
  <fonts count="26" x14ac:knownFonts="1">
    <font>
      <sz val="12"/>
      <color rgb="FF000000"/>
      <name val="Calibri"/>
      <scheme val="minor"/>
    </font>
    <font>
      <b/>
      <sz val="18"/>
      <color rgb="FFFF0000"/>
      <name val="Calibri"/>
      <scheme val="minor"/>
    </font>
    <font>
      <sz val="12"/>
      <name val="Calibri"/>
    </font>
    <font>
      <sz val="12"/>
      <color theme="1"/>
      <name val="Calibri"/>
      <scheme val="minor"/>
    </font>
    <font>
      <sz val="14"/>
      <color rgb="FF1B1B1B"/>
      <name val="Calibri"/>
      <scheme val="minor"/>
    </font>
    <font>
      <b/>
      <sz val="14"/>
      <color rgb="FF000000"/>
      <name val="Calibri"/>
      <scheme val="minor"/>
    </font>
    <font>
      <b/>
      <sz val="14"/>
      <color rgb="FF000000"/>
      <name val="Calibri"/>
    </font>
    <font>
      <sz val="12"/>
      <color rgb="FF000000"/>
      <name val="Arial"/>
    </font>
    <font>
      <b/>
      <u/>
      <sz val="12"/>
      <color rgb="FF4A86E8"/>
      <name val="Arial"/>
    </font>
    <font>
      <b/>
      <u/>
      <sz val="12"/>
      <color rgb="FF4A86E8"/>
      <name val="Arial"/>
    </font>
    <font>
      <b/>
      <u/>
      <sz val="12"/>
      <color rgb="FF4A86E8"/>
      <name val="Arial"/>
    </font>
    <font>
      <sz val="12"/>
      <color rgb="FF1B1B1B"/>
      <name val="Calibri"/>
      <scheme val="minor"/>
    </font>
    <font>
      <b/>
      <sz val="14"/>
      <color rgb="FF1B1B1B"/>
      <name val="Calibri"/>
      <scheme val="minor"/>
    </font>
    <font>
      <b/>
      <sz val="20"/>
      <color theme="1"/>
      <name val="Calibri"/>
    </font>
    <font>
      <b/>
      <sz val="22"/>
      <color theme="1"/>
      <name val="Calibri"/>
    </font>
    <font>
      <b/>
      <sz val="16"/>
      <color theme="1"/>
      <name val="Calibri"/>
    </font>
    <font>
      <sz val="11"/>
      <color theme="1"/>
      <name val="Calibri"/>
    </font>
    <font>
      <b/>
      <sz val="12"/>
      <color theme="1"/>
      <name val="Calibri"/>
    </font>
    <font>
      <b/>
      <sz val="11"/>
      <color theme="1"/>
      <name val="Calibri"/>
    </font>
    <font>
      <sz val="20"/>
      <color theme="1"/>
      <name val="Calibri"/>
    </font>
    <font>
      <b/>
      <sz val="10"/>
      <color rgb="FF000000"/>
      <name val="Arial"/>
    </font>
    <font>
      <b/>
      <sz val="10"/>
      <color theme="1"/>
      <name val="Arial"/>
    </font>
    <font>
      <b/>
      <sz val="18"/>
      <color rgb="FFFF0000"/>
      <name val="Calibri"/>
    </font>
    <font>
      <sz val="18"/>
      <color rgb="FFFF0000"/>
      <name val="Calibri"/>
    </font>
    <font>
      <b/>
      <sz val="14"/>
      <color rgb="FF1B1B1B"/>
      <name val="Calibri"/>
    </font>
    <font>
      <sz val="14"/>
      <color rgb="FF1B1B1B"/>
      <name val="Calibri"/>
    </font>
  </fonts>
  <fills count="17">
    <fill>
      <patternFill patternType="none"/>
    </fill>
    <fill>
      <patternFill patternType="gray125"/>
    </fill>
    <fill>
      <patternFill patternType="solid">
        <fgColor rgb="FFFCE5CD"/>
        <bgColor rgb="FFFCE5CD"/>
      </patternFill>
    </fill>
    <fill>
      <patternFill patternType="solid">
        <fgColor rgb="FFFFFFFF"/>
        <bgColor rgb="FFFFFFFF"/>
      </patternFill>
    </fill>
    <fill>
      <patternFill patternType="solid">
        <fgColor rgb="FFC9DAF8"/>
        <bgColor rgb="FFC9DAF8"/>
      </patternFill>
    </fill>
    <fill>
      <patternFill patternType="solid">
        <fgColor rgb="FFFFF2CC"/>
        <bgColor rgb="FFFFF2CC"/>
      </patternFill>
    </fill>
    <fill>
      <patternFill patternType="solid">
        <fgColor rgb="FFF6B26B"/>
        <bgColor rgb="FFF6B26B"/>
      </patternFill>
    </fill>
    <fill>
      <patternFill patternType="solid">
        <fgColor rgb="FFF9CB9C"/>
        <bgColor rgb="FFF9CB9C"/>
      </patternFill>
    </fill>
    <fill>
      <patternFill patternType="solid">
        <fgColor rgb="FF6D9EEB"/>
        <bgColor rgb="FF6D9EEB"/>
      </patternFill>
    </fill>
    <fill>
      <patternFill patternType="solid">
        <fgColor rgb="FFA4C2F4"/>
        <bgColor rgb="FFA4C2F4"/>
      </patternFill>
    </fill>
    <fill>
      <patternFill patternType="solid">
        <fgColor rgb="FFC4D6F0"/>
        <bgColor rgb="FFC4D6F0"/>
      </patternFill>
    </fill>
    <fill>
      <patternFill patternType="solid">
        <fgColor rgb="FF93C47D"/>
        <bgColor rgb="FF93C47D"/>
      </patternFill>
    </fill>
    <fill>
      <patternFill patternType="solid">
        <fgColor rgb="FFB6D7A8"/>
        <bgColor rgb="FFB6D7A8"/>
      </patternFill>
    </fill>
    <fill>
      <patternFill patternType="solid">
        <fgColor rgb="FF999999"/>
        <bgColor rgb="FF999999"/>
      </patternFill>
    </fill>
    <fill>
      <patternFill patternType="solid">
        <fgColor rgb="FFEFEFEF"/>
        <bgColor rgb="FFEFEFEF"/>
      </patternFill>
    </fill>
    <fill>
      <patternFill patternType="solid">
        <fgColor theme="0"/>
        <bgColor rgb="FFEFEFEF"/>
      </patternFill>
    </fill>
    <fill>
      <patternFill patternType="solid">
        <fgColor theme="0"/>
        <bgColor rgb="FFFFFFFF"/>
      </patternFill>
    </fill>
  </fills>
  <borders count="30">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diagonal/>
    </border>
    <border>
      <left/>
      <right style="thick">
        <color rgb="FF000000"/>
      </right>
      <top/>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103">
    <xf numFmtId="0" fontId="0" fillId="0" borderId="0" xfId="0"/>
    <xf numFmtId="0" fontId="3" fillId="0" borderId="0" xfId="0" applyFont="1"/>
    <xf numFmtId="0" fontId="5" fillId="4" borderId="6" xfId="0" applyFont="1" applyFill="1" applyBorder="1" applyAlignment="1">
      <alignment horizontal="left"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7" fillId="0" borderId="0" xfId="0" applyFont="1"/>
    <xf numFmtId="0" fontId="0" fillId="3" borderId="6" xfId="0" applyFill="1" applyBorder="1" applyAlignment="1">
      <alignment horizontal="left" vertical="center" wrapText="1"/>
    </xf>
    <xf numFmtId="0" fontId="8"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10" fillId="3" borderId="7" xfId="0" applyFont="1" applyFill="1" applyBorder="1" applyAlignment="1">
      <alignment horizontal="center" vertical="center" wrapText="1"/>
    </xf>
    <xf numFmtId="0" fontId="11" fillId="3" borderId="6" xfId="0" applyFont="1" applyFill="1" applyBorder="1" applyAlignment="1">
      <alignment horizontal="left" vertical="center" wrapText="1"/>
    </xf>
    <xf numFmtId="0" fontId="13" fillId="6" borderId="12" xfId="0" applyFont="1" applyFill="1" applyBorder="1" applyAlignment="1">
      <alignment vertical="center"/>
    </xf>
    <xf numFmtId="0" fontId="14" fillId="6" borderId="13" xfId="0" applyFont="1" applyFill="1" applyBorder="1" applyAlignment="1">
      <alignment vertical="center" wrapText="1"/>
    </xf>
    <xf numFmtId="0" fontId="14" fillId="6" borderId="13" xfId="0" applyFont="1" applyFill="1" applyBorder="1" applyAlignment="1">
      <alignment vertical="center"/>
    </xf>
    <xf numFmtId="0" fontId="14" fillId="6" borderId="14" xfId="0" applyFont="1" applyFill="1" applyBorder="1" applyAlignment="1">
      <alignment vertical="center"/>
    </xf>
    <xf numFmtId="0" fontId="15" fillId="6" borderId="15" xfId="0" applyFont="1" applyFill="1" applyBorder="1" applyAlignment="1">
      <alignment vertical="center"/>
    </xf>
    <xf numFmtId="0" fontId="16" fillId="6" borderId="13" xfId="0" applyFont="1" applyFill="1" applyBorder="1" applyAlignment="1">
      <alignment vertical="center"/>
    </xf>
    <xf numFmtId="0" fontId="15" fillId="6" borderId="16" xfId="0" applyFont="1" applyFill="1" applyBorder="1" applyAlignment="1">
      <alignment vertical="center"/>
    </xf>
    <xf numFmtId="0" fontId="17" fillId="7" borderId="12"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17" fillId="7" borderId="13" xfId="0" applyFont="1" applyFill="1" applyBorder="1" applyAlignment="1">
      <alignment horizontal="center" vertical="center"/>
    </xf>
    <xf numFmtId="0" fontId="17" fillId="7" borderId="17" xfId="0" applyFont="1" applyFill="1" applyBorder="1" applyAlignment="1">
      <alignment horizontal="center" vertical="center" wrapText="1"/>
    </xf>
    <xf numFmtId="0" fontId="18" fillId="0" borderId="0" xfId="0" applyFont="1" applyAlignment="1">
      <alignment vertical="center"/>
    </xf>
    <xf numFmtId="0" fontId="18" fillId="0" borderId="0" xfId="0" applyFont="1" applyAlignment="1">
      <alignment vertical="center" wrapText="1"/>
    </xf>
    <xf numFmtId="164" fontId="16" fillId="0" borderId="0" xfId="0" applyNumberFormat="1" applyFont="1" applyAlignment="1">
      <alignment vertical="center"/>
    </xf>
    <xf numFmtId="0" fontId="16" fillId="0" borderId="0" xfId="0" applyFont="1" applyAlignment="1">
      <alignment vertical="center" wrapText="1"/>
    </xf>
    <xf numFmtId="0" fontId="16" fillId="0" borderId="0" xfId="0" applyFont="1" applyAlignment="1">
      <alignment vertical="center"/>
    </xf>
    <xf numFmtId="0" fontId="13" fillId="6" borderId="13" xfId="0" applyFont="1" applyFill="1" applyBorder="1" applyAlignment="1">
      <alignment vertical="center" wrapText="1"/>
    </xf>
    <xf numFmtId="0" fontId="13" fillId="6" borderId="13" xfId="0" applyFont="1" applyFill="1" applyBorder="1" applyAlignment="1">
      <alignment vertical="center"/>
    </xf>
    <xf numFmtId="0" fontId="13" fillId="6" borderId="13" xfId="0" applyFont="1" applyFill="1" applyBorder="1" applyAlignment="1">
      <alignment horizontal="left" vertical="center" wrapText="1"/>
    </xf>
    <xf numFmtId="0" fontId="13" fillId="6" borderId="14" xfId="0" applyFont="1" applyFill="1" applyBorder="1" applyAlignment="1">
      <alignment vertical="center"/>
    </xf>
    <xf numFmtId="0" fontId="13" fillId="6" borderId="15" xfId="0" applyFont="1" applyFill="1" applyBorder="1" applyAlignment="1">
      <alignment vertical="center"/>
    </xf>
    <xf numFmtId="0" fontId="19" fillId="6" borderId="13" xfId="0" applyFont="1" applyFill="1" applyBorder="1" applyAlignment="1">
      <alignment vertical="center"/>
    </xf>
    <xf numFmtId="0" fontId="13" fillId="6" borderId="16" xfId="0" applyFont="1" applyFill="1" applyBorder="1" applyAlignment="1">
      <alignment vertical="center"/>
    </xf>
    <xf numFmtId="0" fontId="17" fillId="7" borderId="13" xfId="0" applyFont="1" applyFill="1" applyBorder="1" applyAlignment="1">
      <alignment horizontal="left" vertical="center" wrapText="1"/>
    </xf>
    <xf numFmtId="0" fontId="16" fillId="0" borderId="0" xfId="0" applyFont="1" applyAlignment="1">
      <alignment horizontal="left" vertical="center" wrapText="1"/>
    </xf>
    <xf numFmtId="0" fontId="13" fillId="8" borderId="12" xfId="0" applyFont="1" applyFill="1" applyBorder="1" applyAlignment="1">
      <alignment vertical="center"/>
    </xf>
    <xf numFmtId="0" fontId="14" fillId="8" borderId="13" xfId="0" applyFont="1" applyFill="1" applyBorder="1" applyAlignment="1">
      <alignment vertical="center" wrapText="1"/>
    </xf>
    <xf numFmtId="0" fontId="14" fillId="8" borderId="13" xfId="0" applyFont="1" applyFill="1" applyBorder="1" applyAlignment="1">
      <alignment vertical="center"/>
    </xf>
    <xf numFmtId="0" fontId="14" fillId="8" borderId="18" xfId="0" applyFont="1" applyFill="1" applyBorder="1" applyAlignment="1">
      <alignment vertical="center"/>
    </xf>
    <xf numFmtId="0" fontId="15" fillId="8" borderId="19" xfId="0" applyFont="1" applyFill="1" applyBorder="1" applyAlignment="1">
      <alignment vertical="center"/>
    </xf>
    <xf numFmtId="0" fontId="16" fillId="8" borderId="20" xfId="0" applyFont="1" applyFill="1" applyBorder="1" applyAlignment="1">
      <alignment vertical="center"/>
    </xf>
    <xf numFmtId="0" fontId="16" fillId="8" borderId="13" xfId="0" applyFont="1" applyFill="1" applyBorder="1" applyAlignment="1">
      <alignment vertical="center"/>
    </xf>
    <xf numFmtId="0" fontId="15" fillId="8" borderId="15" xfId="0" applyFont="1" applyFill="1" applyBorder="1" applyAlignment="1">
      <alignment vertical="center"/>
    </xf>
    <xf numFmtId="0" fontId="15" fillId="8" borderId="16" xfId="0" applyFont="1" applyFill="1" applyBorder="1" applyAlignment="1">
      <alignment vertical="center"/>
    </xf>
    <xf numFmtId="0" fontId="20" fillId="7" borderId="25" xfId="0" applyFont="1" applyFill="1" applyBorder="1" applyAlignment="1">
      <alignment horizontal="center" wrapText="1"/>
    </xf>
    <xf numFmtId="0" fontId="20" fillId="7" borderId="26" xfId="0" applyFont="1" applyFill="1" applyBorder="1" applyAlignment="1">
      <alignment horizontal="center" wrapText="1"/>
    </xf>
    <xf numFmtId="0" fontId="20" fillId="7" borderId="27" xfId="0" applyFont="1" applyFill="1" applyBorder="1" applyAlignment="1">
      <alignment horizontal="center" wrapText="1"/>
    </xf>
    <xf numFmtId="0" fontId="18" fillId="3" borderId="0" xfId="0" applyFont="1" applyFill="1" applyAlignment="1">
      <alignment vertical="center"/>
    </xf>
    <xf numFmtId="0" fontId="18" fillId="3" borderId="0" xfId="0" applyFont="1" applyFill="1" applyAlignment="1">
      <alignment vertical="center" wrapText="1"/>
    </xf>
    <xf numFmtId="164" fontId="16" fillId="3" borderId="0" xfId="0" applyNumberFormat="1" applyFont="1" applyFill="1" applyAlignment="1">
      <alignment vertical="center"/>
    </xf>
    <xf numFmtId="0" fontId="16" fillId="3" borderId="0" xfId="0" applyFont="1" applyFill="1" applyAlignment="1">
      <alignment vertical="center" wrapText="1"/>
    </xf>
    <xf numFmtId="0" fontId="16" fillId="3" borderId="0" xfId="0" applyFont="1" applyFill="1" applyAlignment="1">
      <alignment horizontal="center" vertical="center"/>
    </xf>
    <xf numFmtId="0" fontId="16" fillId="3" borderId="0" xfId="0" applyFont="1" applyFill="1" applyAlignment="1">
      <alignment vertical="center"/>
    </xf>
    <xf numFmtId="0" fontId="18" fillId="10" borderId="0" xfId="0" applyFont="1" applyFill="1" applyAlignment="1">
      <alignment vertical="center"/>
    </xf>
    <xf numFmtId="0" fontId="18" fillId="10" borderId="0" xfId="0" applyFont="1" applyFill="1" applyAlignment="1">
      <alignment vertical="center" wrapText="1"/>
    </xf>
    <xf numFmtId="164" fontId="16" fillId="10" borderId="0" xfId="0" applyNumberFormat="1" applyFont="1" applyFill="1" applyAlignment="1">
      <alignment vertical="center"/>
    </xf>
    <xf numFmtId="0" fontId="16" fillId="10" borderId="0" xfId="0" applyFont="1" applyFill="1" applyAlignment="1">
      <alignment vertical="center" wrapText="1"/>
    </xf>
    <xf numFmtId="0" fontId="16" fillId="10" borderId="0" xfId="0" applyFont="1" applyFill="1" applyAlignment="1">
      <alignment horizontal="center" vertical="center"/>
    </xf>
    <xf numFmtId="0" fontId="16" fillId="10" borderId="0" xfId="0" applyFont="1" applyFill="1" applyAlignment="1">
      <alignment vertical="center"/>
    </xf>
    <xf numFmtId="0" fontId="14" fillId="8" borderId="14" xfId="0" applyFont="1" applyFill="1" applyBorder="1" applyAlignment="1">
      <alignment vertical="center"/>
    </xf>
    <xf numFmtId="0" fontId="13" fillId="11" borderId="12" xfId="0" applyFont="1" applyFill="1" applyBorder="1" applyAlignment="1">
      <alignment vertical="center"/>
    </xf>
    <xf numFmtId="0" fontId="14" fillId="11" borderId="13" xfId="0" applyFont="1" applyFill="1" applyBorder="1" applyAlignment="1">
      <alignment vertical="center" wrapText="1"/>
    </xf>
    <xf numFmtId="0" fontId="14" fillId="11" borderId="13" xfId="0" applyFont="1" applyFill="1" applyBorder="1" applyAlignment="1">
      <alignment vertical="center"/>
    </xf>
    <xf numFmtId="0" fontId="14" fillId="11" borderId="14" xfId="0" applyFont="1" applyFill="1" applyBorder="1" applyAlignment="1">
      <alignment vertical="center"/>
    </xf>
    <xf numFmtId="0" fontId="15" fillId="11" borderId="15" xfId="0" applyFont="1" applyFill="1" applyBorder="1" applyAlignment="1">
      <alignment vertical="center"/>
    </xf>
    <xf numFmtId="0" fontId="16" fillId="11" borderId="13" xfId="0" applyFont="1" applyFill="1" applyBorder="1" applyAlignment="1">
      <alignment vertical="center"/>
    </xf>
    <xf numFmtId="0" fontId="15" fillId="11" borderId="16" xfId="0" applyFont="1" applyFill="1" applyBorder="1" applyAlignment="1">
      <alignment vertical="center"/>
    </xf>
    <xf numFmtId="0" fontId="17" fillId="12" borderId="12" xfId="0" applyFont="1" applyFill="1" applyBorder="1" applyAlignment="1">
      <alignment horizontal="center" vertical="center" wrapText="1"/>
    </xf>
    <xf numFmtId="0" fontId="17" fillId="12" borderId="13" xfId="0" applyFont="1" applyFill="1" applyBorder="1" applyAlignment="1">
      <alignment horizontal="center" vertical="center" wrapText="1"/>
    </xf>
    <xf numFmtId="0" fontId="17" fillId="12" borderId="13" xfId="0" applyFont="1" applyFill="1" applyBorder="1" applyAlignment="1">
      <alignment horizontal="center" vertical="center"/>
    </xf>
    <xf numFmtId="0" fontId="17" fillId="12" borderId="17" xfId="0" applyFont="1" applyFill="1" applyBorder="1" applyAlignment="1">
      <alignment horizontal="center" vertical="center" wrapText="1"/>
    </xf>
    <xf numFmtId="0" fontId="13" fillId="11" borderId="13" xfId="0" applyFont="1" applyFill="1" applyBorder="1" applyAlignment="1">
      <alignment vertical="center" wrapText="1"/>
    </xf>
    <xf numFmtId="0" fontId="13" fillId="11" borderId="13" xfId="0" applyFont="1" applyFill="1" applyBorder="1" applyAlignment="1">
      <alignment vertical="center"/>
    </xf>
    <xf numFmtId="0" fontId="13" fillId="11" borderId="14" xfId="0" applyFont="1" applyFill="1" applyBorder="1" applyAlignment="1">
      <alignment vertical="center"/>
    </xf>
    <xf numFmtId="0" fontId="13" fillId="11" borderId="15" xfId="0" applyFont="1" applyFill="1" applyBorder="1" applyAlignment="1">
      <alignment vertical="center"/>
    </xf>
    <xf numFmtId="0" fontId="19" fillId="11" borderId="13" xfId="0" applyFont="1" applyFill="1" applyBorder="1" applyAlignment="1">
      <alignment vertical="center"/>
    </xf>
    <xf numFmtId="0" fontId="13" fillId="11" borderId="16" xfId="0" applyFont="1" applyFill="1" applyBorder="1" applyAlignment="1">
      <alignment vertical="center"/>
    </xf>
    <xf numFmtId="0" fontId="21" fillId="13" borderId="29" xfId="0" applyFont="1" applyFill="1" applyBorder="1" applyAlignment="1">
      <alignment wrapText="1"/>
    </xf>
    <xf numFmtId="0" fontId="3" fillId="3" borderId="0" xfId="0" applyFont="1" applyFill="1" applyAlignment="1">
      <alignment wrapText="1"/>
    </xf>
    <xf numFmtId="0" fontId="3" fillId="14" borderId="0" xfId="0" applyFont="1" applyFill="1" applyAlignment="1">
      <alignment wrapText="1"/>
    </xf>
    <xf numFmtId="0" fontId="3" fillId="15" borderId="0" xfId="0" applyFont="1" applyFill="1" applyAlignment="1">
      <alignment wrapText="1"/>
    </xf>
    <xf numFmtId="0" fontId="3" fillId="16" borderId="0" xfId="0" applyFont="1" applyFill="1" applyAlignment="1">
      <alignment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3" borderId="4" xfId="0" applyFont="1" applyFill="1" applyBorder="1" applyAlignment="1">
      <alignment horizontal="left" vertical="center" wrapText="1"/>
    </xf>
    <xf numFmtId="0" fontId="0" fillId="0" borderId="0" xfId="0"/>
    <xf numFmtId="0" fontId="2" fillId="0" borderId="5" xfId="0" applyFont="1" applyBorder="1"/>
    <xf numFmtId="0" fontId="12" fillId="5" borderId="9" xfId="0" applyFont="1" applyFill="1" applyBorder="1" applyAlignment="1">
      <alignment horizontal="left" vertical="center" wrapText="1"/>
    </xf>
    <xf numFmtId="0" fontId="2" fillId="0" borderId="10" xfId="0" applyFont="1" applyBorder="1"/>
    <xf numFmtId="0" fontId="2" fillId="0" borderId="11" xfId="0" applyFont="1" applyBorder="1"/>
    <xf numFmtId="0" fontId="17" fillId="9" borderId="20" xfId="0" applyFont="1" applyFill="1" applyBorder="1" applyAlignment="1">
      <alignment horizontal="center" vertical="center"/>
    </xf>
    <xf numFmtId="0" fontId="2" fillId="10" borderId="24" xfId="0" applyFont="1" applyFill="1" applyBorder="1"/>
    <xf numFmtId="0" fontId="17" fillId="9" borderId="22" xfId="0" applyFont="1" applyFill="1" applyBorder="1" applyAlignment="1">
      <alignment horizontal="center" vertical="center" wrapText="1"/>
    </xf>
    <xf numFmtId="0" fontId="2" fillId="10" borderId="28" xfId="0" applyFont="1" applyFill="1" applyBorder="1"/>
    <xf numFmtId="0" fontId="17" fillId="9" borderId="20" xfId="0" applyFont="1" applyFill="1" applyBorder="1" applyAlignment="1">
      <alignment horizontal="center" vertical="center" wrapText="1"/>
    </xf>
    <xf numFmtId="0" fontId="17" fillId="9" borderId="21" xfId="0" applyFont="1" applyFill="1" applyBorder="1" applyAlignment="1">
      <alignment horizontal="center" vertical="center" wrapText="1"/>
    </xf>
    <xf numFmtId="0" fontId="2" fillId="10" borderId="23" xfId="0" applyFont="1" applyFill="1" applyBorder="1"/>
    <xf numFmtId="0" fontId="20" fillId="7" borderId="12" xfId="0" applyFont="1" applyFill="1" applyBorder="1" applyAlignment="1">
      <alignment horizontal="center" wrapText="1"/>
    </xf>
    <xf numFmtId="0" fontId="2" fillId="3" borderId="13" xfId="0" applyFont="1" applyFill="1" applyBorder="1"/>
    <xf numFmtId="0" fontId="2" fillId="3" borderId="17" xfId="0" applyFont="1" applyFill="1" applyBorder="1"/>
    <xf numFmtId="0" fontId="6" fillId="13" borderId="12" xfId="0" applyFont="1" applyFill="1" applyBorder="1" applyAlignment="1">
      <alignment horizontal="center" vertical="center" wrapText="1"/>
    </xf>
  </cellXfs>
  <cellStyles count="1">
    <cellStyle name="Normal" xfId="0" builtinId="0"/>
  </cellStyles>
  <dxfs count="20">
    <dxf>
      <fill>
        <patternFill patternType="solid">
          <fgColor rgb="FFD9EAD3"/>
          <bgColor rgb="FFD9EAD3"/>
        </patternFill>
      </fill>
    </dxf>
    <dxf>
      <fill>
        <patternFill patternType="solid">
          <fgColor rgb="FFFFFFFF"/>
          <bgColor rgb="FFFFFFFF"/>
        </patternFill>
      </fill>
    </dxf>
    <dxf>
      <fill>
        <patternFill patternType="solid">
          <fgColor rgb="FFFCE5CD"/>
          <bgColor rgb="FFFCE5CD"/>
        </patternFill>
      </fill>
    </dxf>
    <dxf>
      <fill>
        <patternFill patternType="solid">
          <fgColor rgb="FFFFFFFF"/>
          <bgColor rgb="FFFFFFFF"/>
        </patternFill>
      </fill>
    </dxf>
    <dxf>
      <fill>
        <patternFill patternType="solid">
          <fgColor rgb="FFD9EAD3"/>
          <bgColor rgb="FFD9EAD3"/>
        </patternFill>
      </fill>
    </dxf>
    <dxf>
      <fill>
        <patternFill patternType="solid">
          <fgColor rgb="FFFFFFFF"/>
          <bgColor rgb="FFFFFFFF"/>
        </patternFill>
      </fill>
    </dxf>
    <dxf>
      <fill>
        <patternFill patternType="solid">
          <fgColor rgb="FFFCE5CD"/>
          <bgColor rgb="FFFCE5CD"/>
        </patternFill>
      </fill>
    </dxf>
    <dxf>
      <fill>
        <patternFill patternType="solid">
          <fgColor rgb="FFFFFFFF"/>
          <bgColor rgb="FFFFFFFF"/>
        </patternFill>
      </fill>
    </dxf>
    <dxf>
      <fill>
        <patternFill patternType="solid">
          <fgColor rgb="FFFCE5CD"/>
          <bgColor rgb="FFFCE5CD"/>
        </patternFill>
      </fill>
    </dxf>
    <dxf>
      <fill>
        <patternFill patternType="solid">
          <fgColor rgb="FFFFFFFF"/>
          <bgColor rgb="FFFFFFFF"/>
        </patternFill>
      </fill>
    </dxf>
    <dxf>
      <fill>
        <patternFill patternType="solid">
          <fgColor rgb="FFFCE5CD"/>
          <bgColor rgb="FFFCE5CD"/>
        </patternFill>
      </fill>
    </dxf>
    <dxf>
      <fill>
        <patternFill patternType="solid">
          <fgColor rgb="FFFFFFFF"/>
          <bgColor rgb="FFFFFFFF"/>
        </patternFill>
      </fill>
    </dxf>
    <dxf>
      <fill>
        <patternFill patternType="solid">
          <fgColor rgb="FFFCE5CD"/>
          <bgColor rgb="FFFCE5CD"/>
        </patternFill>
      </fill>
    </dxf>
    <dxf>
      <fill>
        <patternFill patternType="solid">
          <fgColor rgb="FFFFFFFF"/>
          <bgColor rgb="FFFFFFFF"/>
        </patternFill>
      </fill>
    </dxf>
    <dxf>
      <fill>
        <patternFill patternType="solid">
          <fgColor rgb="FFFCE5CD"/>
          <bgColor rgb="FFFCE5CD"/>
        </patternFill>
      </fill>
    </dxf>
    <dxf>
      <fill>
        <patternFill patternType="solid">
          <fgColor rgb="FFFFFFFF"/>
          <bgColor rgb="FFFFFFFF"/>
        </patternFill>
      </fill>
    </dxf>
    <dxf>
      <fill>
        <patternFill patternType="solid">
          <fgColor rgb="FFFCE5CD"/>
          <bgColor rgb="FFFCE5CD"/>
        </patternFill>
      </fill>
    </dxf>
    <dxf>
      <fill>
        <patternFill patternType="solid">
          <fgColor rgb="FFFFFFFF"/>
          <bgColor rgb="FFFFFFFF"/>
        </patternFill>
      </fill>
    </dxf>
    <dxf>
      <fill>
        <patternFill patternType="solid">
          <fgColor rgb="FFFCE5CD"/>
          <bgColor rgb="FFFCE5CD"/>
        </patternFill>
      </fill>
    </dxf>
    <dxf>
      <fill>
        <patternFill patternType="solid">
          <fgColor rgb="FFFFFFFF"/>
          <bgColor rgb="FFFFFFFF"/>
        </patternFill>
      </fill>
    </dxf>
  </dxfs>
  <tableStyles count="10">
    <tableStyle name="Unrestricted Pool 1-style" pivot="0" count="2" xr9:uid="{00000000-0011-0000-FFFF-FFFF00000000}">
      <tableStyleElement type="firstRowStripe" dxfId="19"/>
      <tableStyleElement type="secondRowStripe" dxfId="18"/>
    </tableStyle>
    <tableStyle name="Unrestricted Pool 1-style 2" pivot="0" count="2" xr9:uid="{00000000-0011-0000-FFFF-FFFF01000000}">
      <tableStyleElement type="firstRowStripe" dxfId="17"/>
      <tableStyleElement type="secondRowStripe" dxfId="16"/>
    </tableStyle>
    <tableStyle name="Unrestricted Pool 2-style" pivot="0" count="2" xr9:uid="{00000000-0011-0000-FFFF-FFFF02000000}">
      <tableStyleElement type="firstRowStripe" dxfId="15"/>
      <tableStyleElement type="secondRowStripe" dxfId="14"/>
    </tableStyle>
    <tableStyle name="Unrestricted Pool 2-style 2" pivot="0" count="2" xr9:uid="{00000000-0011-0000-FFFF-FFFF03000000}">
      <tableStyleElement type="firstRowStripe" dxfId="13"/>
      <tableStyleElement type="secondRowStripe" dxfId="12"/>
    </tableStyle>
    <tableStyle name="Small Business Pool 1-style" pivot="0" count="2" xr9:uid="{00000000-0011-0000-FFFF-FFFF04000000}">
      <tableStyleElement type="firstRowStripe" dxfId="11"/>
      <tableStyleElement type="secondRowStripe" dxfId="10"/>
    </tableStyle>
    <tableStyle name="Small Business Pool 2-style" pivot="0" count="2" xr9:uid="{00000000-0011-0000-FFFF-FFFF05000000}">
      <tableStyleElement type="firstRowStripe" dxfId="9"/>
      <tableStyleElement type="secondRowStripe" dxfId="8"/>
    </tableStyle>
    <tableStyle name="8(a) Pool 1-style" pivot="0" count="2" xr9:uid="{00000000-0011-0000-FFFF-FFFF06000000}">
      <tableStyleElement type="firstRowStripe" dxfId="7"/>
      <tableStyleElement type="secondRowStripe" dxfId="6"/>
    </tableStyle>
    <tableStyle name="8(a) Pool 1-style 2" pivot="0" count="2" xr9:uid="{00000000-0011-0000-FFFF-FFFF07000000}">
      <tableStyleElement type="firstRowStripe" dxfId="5"/>
      <tableStyleElement type="secondRowStripe" dxfId="4"/>
    </tableStyle>
    <tableStyle name="8(a) Pool 2-style" pivot="0" count="2" xr9:uid="{00000000-0011-0000-FFFF-FFFF08000000}">
      <tableStyleElement type="firstRowStripe" dxfId="3"/>
      <tableStyleElement type="secondRowStripe" dxfId="2"/>
    </tableStyle>
    <tableStyle name="8(a) Pool 2-style 2" pivot="0" count="2" xr9:uid="{00000000-0011-0000-FFFF-FFFF09000000}">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 headerRowCount="0">
  <tableColumns count="1">
    <tableColumn id="1" xr3:uid="{00000000-0010-0000-0000-000001000000}" name="Column1"/>
  </tableColumns>
  <tableStyleInfo name="Unrestricted Pool 1-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A2:K40" headerRowCount="0">
  <tableColumns count="11">
    <tableColumn id="1" xr3:uid="{00000000-0010-0000-0900-000001000000}" name="Column1"/>
    <tableColumn id="2" xr3:uid="{00000000-0010-0000-0900-000002000000}" name="Column2"/>
    <tableColumn id="3" xr3:uid="{00000000-0010-0000-0900-000003000000}" name="Column3"/>
    <tableColumn id="4" xr3:uid="{00000000-0010-0000-0900-000004000000}" name="Column4"/>
    <tableColumn id="5" xr3:uid="{00000000-0010-0000-0900-000005000000}" name="Column5"/>
    <tableColumn id="6" xr3:uid="{00000000-0010-0000-0900-000006000000}" name="Column6"/>
    <tableColumn id="7" xr3:uid="{00000000-0010-0000-0900-000007000000}" name="Column7"/>
    <tableColumn id="8" xr3:uid="{00000000-0010-0000-0900-000008000000}" name="Column8"/>
    <tableColumn id="9" xr3:uid="{00000000-0010-0000-0900-000009000000}" name="Column9"/>
    <tableColumn id="10" xr3:uid="{00000000-0010-0000-0900-00000A000000}" name="Column10"/>
    <tableColumn id="11" xr3:uid="{00000000-0010-0000-0900-00000B000000}" name="Column11"/>
  </tableColumns>
  <tableStyleInfo name="8(a) Pool 2-style 2"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2:K40" headerRowCount="0">
  <tableColumns count="11">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 id="10" xr3:uid="{00000000-0010-0000-0100-00000A000000}" name="Column10"/>
    <tableColumn id="11" xr3:uid="{00000000-0010-0000-0100-00000B000000}" name="Column11"/>
  </tableColumns>
  <tableStyleInfo name="Unrestricted Pool 1-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1:K1" headerRowCount="0">
  <tableColumns count="11">
    <tableColumn id="1" xr3:uid="{00000000-0010-0000-0200-000001000000}" name="Column1"/>
    <tableColumn id="2" xr3:uid="{00000000-0010-0000-0200-000002000000}" name="Column2"/>
    <tableColumn id="3" xr3:uid="{00000000-0010-0000-0200-000003000000}" name="Column3"/>
    <tableColumn id="4" xr3:uid="{00000000-0010-0000-0200-000004000000}" name="Column4"/>
    <tableColumn id="5" xr3:uid="{00000000-0010-0000-0200-000005000000}" name="Column5"/>
    <tableColumn id="6" xr3:uid="{00000000-0010-0000-0200-000006000000}" name="Column6"/>
    <tableColumn id="7" xr3:uid="{00000000-0010-0000-0200-000007000000}" name="Column7"/>
    <tableColumn id="8" xr3:uid="{00000000-0010-0000-0200-000008000000}" name="Column8"/>
    <tableColumn id="9" xr3:uid="{00000000-0010-0000-0200-000009000000}" name="Column9"/>
    <tableColumn id="10" xr3:uid="{00000000-0010-0000-0200-00000A000000}" name="Column10"/>
    <tableColumn id="11" xr3:uid="{00000000-0010-0000-0200-00000B000000}" name="Column11"/>
  </tableColumns>
  <tableStyleInfo name="Unrestricted Pool 2-style"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2:K55" headerRowCount="0">
  <tableColumns count="11">
    <tableColumn id="1" xr3:uid="{00000000-0010-0000-0300-000001000000}" name="Column1"/>
    <tableColumn id="2" xr3:uid="{00000000-0010-0000-0300-000002000000}" name="Column2"/>
    <tableColumn id="3" xr3:uid="{00000000-0010-0000-0300-000003000000}" name="Column3"/>
    <tableColumn id="4" xr3:uid="{00000000-0010-0000-0300-000004000000}" name="Column4"/>
    <tableColumn id="5" xr3:uid="{00000000-0010-0000-0300-000005000000}" name="Column5"/>
    <tableColumn id="6" xr3:uid="{00000000-0010-0000-0300-000006000000}" name="Column6"/>
    <tableColumn id="7" xr3:uid="{00000000-0010-0000-0300-000007000000}" name="Column7"/>
    <tableColumn id="8" xr3:uid="{00000000-0010-0000-0300-000008000000}" name="Column8"/>
    <tableColumn id="9" xr3:uid="{00000000-0010-0000-0300-000009000000}" name="Column9"/>
    <tableColumn id="10" xr3:uid="{00000000-0010-0000-0300-00000A000000}" name="Column10"/>
    <tableColumn id="11" xr3:uid="{00000000-0010-0000-0300-00000B000000}" name="Column11"/>
  </tableColumns>
  <tableStyleInfo name="Unrestricted Pool 2-style 2"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1" headerRowCount="0">
  <tableColumns count="1">
    <tableColumn id="1" xr3:uid="{00000000-0010-0000-0400-000001000000}" name="Column1"/>
  </tableColumns>
  <tableStyleInfo name="Small Business Pool 1-style"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1" headerRowCount="0">
  <tableColumns count="1">
    <tableColumn id="1" xr3:uid="{00000000-0010-0000-0500-000001000000}" name="Column1"/>
  </tableColumns>
  <tableStyleInfo name="Small Business Pool 2-style"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A1" headerRowCount="0">
  <tableColumns count="1">
    <tableColumn id="1" xr3:uid="{00000000-0010-0000-0600-000001000000}" name="Column1"/>
  </tableColumns>
  <tableStyleInfo name="8(a) Pool 1-style"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A2:K39" headerRowCount="0">
  <tableColumns count="11">
    <tableColumn id="1" xr3:uid="{00000000-0010-0000-0700-000001000000}" name="Column1"/>
    <tableColumn id="2" xr3:uid="{00000000-0010-0000-0700-000002000000}" name="Column2"/>
    <tableColumn id="3" xr3:uid="{00000000-0010-0000-0700-000003000000}" name="Column3"/>
    <tableColumn id="4" xr3:uid="{00000000-0010-0000-0700-000004000000}" name="Column4"/>
    <tableColumn id="5" xr3:uid="{00000000-0010-0000-0700-000005000000}" name="Column5"/>
    <tableColumn id="6" xr3:uid="{00000000-0010-0000-0700-000006000000}" name="Column6"/>
    <tableColumn id="7" xr3:uid="{00000000-0010-0000-0700-000007000000}" name="Column7"/>
    <tableColumn id="8" xr3:uid="{00000000-0010-0000-0700-000008000000}" name="Column8"/>
    <tableColumn id="9" xr3:uid="{00000000-0010-0000-0700-000009000000}" name="Column9"/>
    <tableColumn id="10" xr3:uid="{00000000-0010-0000-0700-00000A000000}" name="Column10"/>
    <tableColumn id="11" xr3:uid="{00000000-0010-0000-0700-00000B000000}" name="Column11"/>
  </tableColumns>
  <tableStyleInfo name="8(a) Pool 1-style 2"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A1:K1" headerRowCount="0">
  <tableColumns count="11">
    <tableColumn id="1" xr3:uid="{00000000-0010-0000-0800-000001000000}" name="Column1"/>
    <tableColumn id="2" xr3:uid="{00000000-0010-0000-0800-000002000000}" name="Column2"/>
    <tableColumn id="3" xr3:uid="{00000000-0010-0000-0800-000003000000}" name="Column3"/>
    <tableColumn id="4" xr3:uid="{00000000-0010-0000-0800-000004000000}" name="Column4"/>
    <tableColumn id="5" xr3:uid="{00000000-0010-0000-0800-000005000000}" name="Column5"/>
    <tableColumn id="6" xr3:uid="{00000000-0010-0000-0800-000006000000}" name="Column6"/>
    <tableColumn id="7" xr3:uid="{00000000-0010-0000-0800-000007000000}" name="Column7"/>
    <tableColumn id="8" xr3:uid="{00000000-0010-0000-0800-000008000000}" name="Column8"/>
    <tableColumn id="9" xr3:uid="{00000000-0010-0000-0800-000009000000}" name="Column9"/>
    <tableColumn id="10" xr3:uid="{00000000-0010-0000-0800-00000A000000}" name="Column10"/>
    <tableColumn id="11" xr3:uid="{00000000-0010-0000-0800-00000B000000}" name="Column11"/>
  </tableColumns>
  <tableStyleInfo name="8(a) Pool 2-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2D69B"/>
    <pageSetUpPr fitToPage="1"/>
  </sheetPr>
  <dimension ref="A1:Z998"/>
  <sheetViews>
    <sheetView tabSelected="1" workbookViewId="0">
      <selection activeCell="F5" sqref="F5"/>
    </sheetView>
  </sheetViews>
  <sheetFormatPr defaultColWidth="11.25" defaultRowHeight="15" customHeight="1" x14ac:dyDescent="0.25"/>
  <cols>
    <col min="1" max="1" width="37.125" customWidth="1"/>
    <col min="2" max="2" width="52" customWidth="1"/>
    <col min="3" max="3" width="53" bestFit="1" customWidth="1"/>
    <col min="4" max="26" width="8.625" customWidth="1"/>
  </cols>
  <sheetData>
    <row r="1" spans="1:26" ht="93.75" customHeight="1" x14ac:dyDescent="0.25">
      <c r="A1" s="83" t="s">
        <v>0</v>
      </c>
      <c r="B1" s="84"/>
      <c r="C1" s="85"/>
      <c r="D1" s="1"/>
      <c r="E1" s="1"/>
      <c r="F1" s="1"/>
      <c r="G1" s="1"/>
      <c r="H1" s="1"/>
      <c r="I1" s="1"/>
      <c r="J1" s="1"/>
      <c r="K1" s="1"/>
      <c r="L1" s="1"/>
      <c r="M1" s="1"/>
      <c r="N1" s="1"/>
      <c r="O1" s="1"/>
      <c r="P1" s="1"/>
      <c r="Q1" s="1"/>
      <c r="R1" s="1"/>
      <c r="S1" s="1"/>
      <c r="T1" s="1"/>
      <c r="U1" s="1"/>
      <c r="V1" s="1"/>
      <c r="W1" s="1"/>
      <c r="X1" s="1"/>
      <c r="Y1" s="1"/>
      <c r="Z1" s="1"/>
    </row>
    <row r="2" spans="1:26" ht="138" customHeight="1" x14ac:dyDescent="0.25">
      <c r="A2" s="86" t="s">
        <v>1</v>
      </c>
      <c r="B2" s="87"/>
      <c r="C2" s="88"/>
    </row>
    <row r="3" spans="1:26" ht="55.5" customHeight="1" x14ac:dyDescent="0.25">
      <c r="A3" s="2" t="s">
        <v>2</v>
      </c>
      <c r="B3" s="3" t="s">
        <v>3</v>
      </c>
      <c r="C3" s="4" t="s">
        <v>4</v>
      </c>
      <c r="D3" s="5"/>
    </row>
    <row r="4" spans="1:26" ht="43.5" customHeight="1" x14ac:dyDescent="0.25">
      <c r="A4" s="6" t="s">
        <v>5</v>
      </c>
      <c r="B4" s="7" t="s">
        <v>6</v>
      </c>
      <c r="C4" s="8" t="s">
        <v>7</v>
      </c>
    </row>
    <row r="5" spans="1:26" ht="43.5" customHeight="1" x14ac:dyDescent="0.25">
      <c r="A5" s="6" t="s">
        <v>8</v>
      </c>
      <c r="B5" s="9" t="s">
        <v>9</v>
      </c>
      <c r="C5" s="8" t="s">
        <v>10</v>
      </c>
    </row>
    <row r="6" spans="1:26" ht="43.5" customHeight="1" x14ac:dyDescent="0.25">
      <c r="A6" s="10" t="s">
        <v>11</v>
      </c>
      <c r="B6" s="9" t="s">
        <v>12</v>
      </c>
      <c r="C6" s="8" t="s">
        <v>13</v>
      </c>
    </row>
    <row r="7" spans="1:26" ht="112.5" customHeight="1" x14ac:dyDescent="0.25">
      <c r="A7" s="89" t="s">
        <v>14</v>
      </c>
      <c r="B7" s="90"/>
      <c r="C7" s="91"/>
    </row>
    <row r="8" spans="1:26" ht="74.25" customHeight="1" x14ac:dyDescent="0.25"/>
    <row r="9" spans="1:26" ht="15.75" x14ac:dyDescent="0.25"/>
    <row r="10" spans="1:26" ht="15.75" x14ac:dyDescent="0.25"/>
    <row r="11" spans="1:26" ht="15.75" x14ac:dyDescent="0.25"/>
    <row r="12" spans="1:26" ht="15.75" x14ac:dyDescent="0.25"/>
    <row r="13" spans="1:26" ht="15.75" x14ac:dyDescent="0.25"/>
    <row r="14" spans="1:26" ht="15.75" x14ac:dyDescent="0.25"/>
    <row r="15" spans="1:26" ht="15.75" x14ac:dyDescent="0.25"/>
    <row r="16" spans="1:26" ht="15.75"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3">
    <mergeCell ref="A1:C1"/>
    <mergeCell ref="A2:C2"/>
    <mergeCell ref="A7:C7"/>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C09"/>
  </sheetPr>
  <dimension ref="A1:K40"/>
  <sheetViews>
    <sheetView workbookViewId="0">
      <pane xSplit="2" ySplit="2" topLeftCell="C26" activePane="bottomRight" state="frozen"/>
      <selection pane="topRight" activeCell="C1" sqref="C1"/>
      <selection pane="bottomLeft" activeCell="A3" sqref="A3"/>
      <selection pane="bottomRight" activeCell="D19" sqref="D19"/>
    </sheetView>
  </sheetViews>
  <sheetFormatPr defaultColWidth="11.25" defaultRowHeight="15.75" x14ac:dyDescent="0.25"/>
  <cols>
    <col min="1" max="1" width="15.75" customWidth="1"/>
    <col min="2" max="2" width="30.75" customWidth="1"/>
    <col min="3" max="3" width="11.25" customWidth="1"/>
    <col min="4" max="4" width="27.875" customWidth="1"/>
    <col min="5" max="5" width="25.75" customWidth="1"/>
    <col min="6" max="6" width="16.25" customWidth="1"/>
    <col min="7" max="7" width="52.125" customWidth="1"/>
    <col min="8" max="8" width="15.375" customWidth="1"/>
    <col min="9" max="9" width="15.625" customWidth="1"/>
    <col min="10" max="10" width="41.75" customWidth="1"/>
    <col min="11" max="11" width="13.75" customWidth="1"/>
  </cols>
  <sheetData>
    <row r="1" spans="1:11" ht="28.5" x14ac:dyDescent="0.25">
      <c r="A1" s="11" t="s">
        <v>15</v>
      </c>
      <c r="B1" s="12"/>
      <c r="C1" s="13"/>
      <c r="D1" s="12"/>
      <c r="E1" s="14"/>
      <c r="F1" s="15"/>
      <c r="G1" s="15"/>
      <c r="H1" s="16"/>
      <c r="I1" s="15"/>
      <c r="J1" s="15"/>
      <c r="K1" s="17"/>
    </row>
    <row r="2" spans="1:11" ht="47.25" x14ac:dyDescent="0.25">
      <c r="A2" s="18" t="s">
        <v>16</v>
      </c>
      <c r="B2" s="19" t="s">
        <v>17</v>
      </c>
      <c r="C2" s="20" t="s">
        <v>18</v>
      </c>
      <c r="D2" s="19" t="s">
        <v>19</v>
      </c>
      <c r="E2" s="19" t="s">
        <v>20</v>
      </c>
      <c r="F2" s="19" t="s">
        <v>21</v>
      </c>
      <c r="G2" s="20" t="s">
        <v>22</v>
      </c>
      <c r="H2" s="20" t="s">
        <v>23</v>
      </c>
      <c r="I2" s="20" t="s">
        <v>24</v>
      </c>
      <c r="J2" s="20" t="s">
        <v>25</v>
      </c>
      <c r="K2" s="21" t="s">
        <v>26</v>
      </c>
    </row>
    <row r="3" spans="1:11" ht="30" x14ac:dyDescent="0.25">
      <c r="A3" s="22" t="str">
        <f ca="1">IFERROR(__xludf.DUMMYFUNCTION("Query(importrange(""https://docs.google.com/spreadsheets/d/1t10Foe1vTEZyMDsOA_q-Q29vy-Kz9U_eP3ItSEmmPak/edit#gid=525286931"",""HCaTS Master Contracts info!A2:X137""),""SELECT Col10, Col13, Col15, Col17, Col14,Col18, Col19, Col20, Col21, Col22, Col23 where"&amp;" Col10 is not null order by Col13"",0)"),"GS02Q16DCR0001")</f>
        <v>GS02Q16DCR0001</v>
      </c>
      <c r="B3" s="23" t="str">
        <f ca="1">IFERROR(__xludf.DUMMYFUNCTION("""COMPUTED_VALUE"""),"Accenture Federal Services LLC")</f>
        <v>Accenture Federal Services LLC</v>
      </c>
      <c r="C3" s="24" t="str">
        <f ca="1">IFERROR(__xludf.DUMMYFUNCTION("""COMPUTED_VALUE"""),"139727148")</f>
        <v>139727148</v>
      </c>
      <c r="D3" s="25" t="str">
        <f ca="1">IFERROR(__xludf.DUMMYFUNCTION("""COMPUTED_VALUE"""),"800 North Glebe Road, Suite 300, Arlington, VA 22203-2151")</f>
        <v>800 North Glebe Road, Suite 300, Arlington, VA 22203-2151</v>
      </c>
      <c r="E3" s="26" t="str">
        <f ca="1">IFERROR(__xludf.DUMMYFUNCTION("""COMPUTED_VALUE"""),"hcats@accenturefederal.com")</f>
        <v>hcats@accenturefederal.com</v>
      </c>
      <c r="F3" s="26" t="str">
        <f ca="1">IFERROR(__xludf.DUMMYFUNCTION("""COMPUTED_VALUE"""),"Sandi LaCroix")</f>
        <v>Sandi LaCroix</v>
      </c>
      <c r="G3" s="26" t="str">
        <f ca="1">IFERROR(__xludf.DUMMYFUNCTION("""COMPUTED_VALUE"""),"sandi.lacroix@accenturefederal.com")</f>
        <v>sandi.lacroix@accenturefederal.com</v>
      </c>
      <c r="H3" s="26" t="str">
        <f ca="1">IFERROR(__xludf.DUMMYFUNCTION("""COMPUTED_VALUE"""),"571-414-3350")</f>
        <v>571-414-3350</v>
      </c>
      <c r="I3" s="26" t="str">
        <f ca="1">IFERROR(__xludf.DUMMYFUNCTION("""COMPUTED_VALUE"""),"Carla Jamison")</f>
        <v>Carla Jamison</v>
      </c>
      <c r="J3" s="26" t="str">
        <f ca="1">IFERROR(__xludf.DUMMYFUNCTION("""COMPUTED_VALUE"""),"hcats@accenturefederal.com")</f>
        <v>hcats@accenturefederal.com</v>
      </c>
      <c r="K3" s="26" t="str">
        <f ca="1">IFERROR(__xludf.DUMMYFUNCTION("""COMPUTED_VALUE"""),"703-457-7465")</f>
        <v>703-457-7465</v>
      </c>
    </row>
    <row r="4" spans="1:11" ht="30" x14ac:dyDescent="0.25">
      <c r="A4" s="22" t="str">
        <f ca="1">IFERROR(__xludf.DUMMYFUNCTION("""COMPUTED_VALUE"""),"GS02Q16DCR0003")</f>
        <v>GS02Q16DCR0003</v>
      </c>
      <c r="B4" s="23" t="str">
        <f ca="1">IFERROR(__xludf.DUMMYFUNCTION("""COMPUTED_VALUE"""),"Allen Corporation of America, Inc")</f>
        <v>Allen Corporation of America, Inc</v>
      </c>
      <c r="C4" s="24" t="str">
        <f ca="1">IFERROR(__xludf.DUMMYFUNCTION("""COMPUTED_VALUE"""),"007102168")</f>
        <v>007102168</v>
      </c>
      <c r="D4" s="25" t="str">
        <f ca="1">IFERROR(__xludf.DUMMYFUNCTION("""COMPUTED_VALUE"""),"10400 Eaton Place, Suite 330, Fairfax, VA 22030")</f>
        <v>10400 Eaton Place, Suite 330, Fairfax, VA 22030</v>
      </c>
      <c r="E4" s="26" t="str">
        <f ca="1">IFERROR(__xludf.DUMMYFUNCTION("""COMPUTED_VALUE"""),"hcats@allencorporation.com")</f>
        <v>hcats@allencorporation.com</v>
      </c>
      <c r="F4" s="26" t="str">
        <f ca="1">IFERROR(__xludf.DUMMYFUNCTION("""COMPUTED_VALUE"""),"Doug Craven")</f>
        <v>Doug Craven</v>
      </c>
      <c r="G4" s="26" t="str">
        <f ca="1">IFERROR(__xludf.DUMMYFUNCTION("""COMPUTED_VALUE"""),"dcraven@allencorp.com")</f>
        <v>dcraven@allencorp.com</v>
      </c>
      <c r="H4" s="26" t="str">
        <f ca="1">IFERROR(__xludf.DUMMYFUNCTION("""COMPUTED_VALUE"""),"571-321-1626")</f>
        <v>571-321-1626</v>
      </c>
      <c r="I4" s="26" t="str">
        <f ca="1">IFERROR(__xludf.DUMMYFUNCTION("""COMPUTED_VALUE"""),"Will Cline")</f>
        <v>Will Cline</v>
      </c>
      <c r="J4" s="26" t="str">
        <f ca="1">IFERROR(__xludf.DUMMYFUNCTION("""COMPUTED_VALUE"""),"wcline@allencorp.com")</f>
        <v>wcline@allencorp.com</v>
      </c>
      <c r="K4" s="26" t="str">
        <f ca="1">IFERROR(__xludf.DUMMYFUNCTION("""COMPUTED_VALUE"""),"571-321-1610")</f>
        <v>571-321-1610</v>
      </c>
    </row>
    <row r="5" spans="1:11" ht="30" x14ac:dyDescent="0.25">
      <c r="A5" s="22" t="str">
        <f ca="1">IFERROR(__xludf.DUMMYFUNCTION("""COMPUTED_VALUE"""),"GS02Q16DCR0015")</f>
        <v>GS02Q16DCR0015</v>
      </c>
      <c r="B5" s="23" t="str">
        <f ca="1">IFERROR(__xludf.DUMMYFUNCTION("""COMPUTED_VALUE"""),"Apprio, Inc")</f>
        <v>Apprio, Inc</v>
      </c>
      <c r="C5" s="24" t="str">
        <f ca="1">IFERROR(__xludf.DUMMYFUNCTION("""COMPUTED_VALUE"""),"120183715")</f>
        <v>120183715</v>
      </c>
      <c r="D5" s="25" t="str">
        <f ca="1">IFERROR(__xludf.DUMMYFUNCTION("""COMPUTED_VALUE"""),"425 3rd St SW Ste 600, Washington, DC 20024")</f>
        <v>425 3rd St SW Ste 600, Washington, DC 20024</v>
      </c>
      <c r="E5" s="26" t="str">
        <f ca="1">IFERROR(__xludf.DUMMYFUNCTION("""COMPUTED_VALUE"""),"HCATS@apprioinc.com")</f>
        <v>HCATS@apprioinc.com</v>
      </c>
      <c r="F5" s="26" t="str">
        <f ca="1">IFERROR(__xludf.DUMMYFUNCTION("""COMPUTED_VALUE"""),"Darryl Britt")</f>
        <v>Darryl Britt</v>
      </c>
      <c r="G5" s="26" t="str">
        <f ca="1">IFERROR(__xludf.DUMMYFUNCTION("""COMPUTED_VALUE"""),"dbritt@apprioinc.com")</f>
        <v>dbritt@apprioinc.com</v>
      </c>
      <c r="H5" s="26" t="str">
        <f ca="1">IFERROR(__xludf.DUMMYFUNCTION("""COMPUTED_VALUE"""),"(202) 638-6987")</f>
        <v>(202) 638-6987</v>
      </c>
      <c r="I5" s="26" t="str">
        <f ca="1">IFERROR(__xludf.DUMMYFUNCTION("""COMPUTED_VALUE"""),"Gloria-Ann Norwood")</f>
        <v>Gloria-Ann Norwood</v>
      </c>
      <c r="J5" s="26" t="str">
        <f ca="1">IFERROR(__xludf.DUMMYFUNCTION("""COMPUTED_VALUE"""),"ganorwood@apprioinc.com")</f>
        <v>ganorwood@apprioinc.com</v>
      </c>
      <c r="K5" s="26" t="str">
        <f ca="1">IFERROR(__xludf.DUMMYFUNCTION("""COMPUTED_VALUE"""),"202.863.9281 x820")</f>
        <v>202.863.9281 x820</v>
      </c>
    </row>
    <row r="6" spans="1:11" ht="30" x14ac:dyDescent="0.25">
      <c r="A6" s="22" t="str">
        <f ca="1">IFERROR(__xludf.DUMMYFUNCTION("""COMPUTED_VALUE"""),"GS02Q16DCR0002")</f>
        <v>GS02Q16DCR0002</v>
      </c>
      <c r="B6" s="23" t="str">
        <f ca="1">IFERROR(__xludf.DUMMYFUNCTION("""COMPUTED_VALUE"""),"Armed Forces Services Corporation (AFSC)")</f>
        <v>Armed Forces Services Corporation (AFSC)</v>
      </c>
      <c r="C6" s="24" t="str">
        <f ca="1">IFERROR(__xludf.DUMMYFUNCTION("""COMPUTED_VALUE"""),"830333824")</f>
        <v>830333824</v>
      </c>
      <c r="D6" s="25" t="str">
        <f ca="1">IFERROR(__xludf.DUMMYFUNCTION("""COMPUTED_VALUE"""),"2800 S. Shirlington Road, Suite 350, Arlington, VA 22206")</f>
        <v>2800 S. Shirlington Road, Suite 350, Arlington, VA 22206</v>
      </c>
      <c r="E6" s="26" t="str">
        <f ca="1">IFERROR(__xludf.DUMMYFUNCTION("""COMPUTED_VALUE"""),"MFBids@MagellanFederal.com")</f>
        <v>MFBids@MagellanFederal.com</v>
      </c>
      <c r="F6" s="26" t="str">
        <f ca="1">IFERROR(__xludf.DUMMYFUNCTION("""COMPUTED_VALUE"""),"Douglas W. Humerick")</f>
        <v>Douglas W. Humerick</v>
      </c>
      <c r="G6" s="26" t="str">
        <f ca="1">IFERROR(__xludf.DUMMYFUNCTION("""COMPUTED_VALUE"""),"humerickd@magellanfederal.com")</f>
        <v>humerickd@magellanfederal.com</v>
      </c>
      <c r="H6" s="26" t="str">
        <f ca="1">IFERROR(__xludf.DUMMYFUNCTION("""COMPUTED_VALUE"""),"860-428-5071")</f>
        <v>860-428-5071</v>
      </c>
      <c r="I6" s="26" t="str">
        <f ca="1">IFERROR(__xludf.DUMMYFUNCTION("""COMPUTED_VALUE"""),"Thomas Sanders")</f>
        <v>Thomas Sanders</v>
      </c>
      <c r="J6" s="26" t="str">
        <f ca="1">IFERROR(__xludf.DUMMYFUNCTION("""COMPUTED_VALUE"""),"sanderst@magellanfederal.com")</f>
        <v>sanderst@magellanfederal.com</v>
      </c>
      <c r="K6" s="26" t="str">
        <f ca="1">IFERROR(__xludf.DUMMYFUNCTION("""COMPUTED_VALUE"""),"407-374-5528")</f>
        <v>407-374-5528</v>
      </c>
    </row>
    <row r="7" spans="1:11" ht="30" x14ac:dyDescent="0.25">
      <c r="A7" s="22" t="str">
        <f ca="1">IFERROR(__xludf.DUMMYFUNCTION("""COMPUTED_VALUE"""),"GS02Q16DCR0004")</f>
        <v>GS02Q16DCR0004</v>
      </c>
      <c r="B7" s="23" t="str">
        <f ca="1">IFERROR(__xludf.DUMMYFUNCTION("""COMPUTED_VALUE"""),"Atlas Research, LLC")</f>
        <v>Atlas Research, LLC</v>
      </c>
      <c r="C7" s="24" t="str">
        <f ca="1">IFERROR(__xludf.DUMMYFUNCTION("""COMPUTED_VALUE"""),"827560744")</f>
        <v>827560744</v>
      </c>
      <c r="D7" s="25" t="str">
        <f ca="1">IFERROR(__xludf.DUMMYFUNCTION("""COMPUTED_VALUE"""),"805 15th Street NW, Suite 650, Washington, DC 20005")</f>
        <v>805 15th Street NW, Suite 650, Washington, DC 20005</v>
      </c>
      <c r="E7" s="26" t="str">
        <f ca="1">IFERROR(__xludf.DUMMYFUNCTION("""COMPUTED_VALUE"""),"growthteam@cvpcorp.com")</f>
        <v>growthteam@cvpcorp.com</v>
      </c>
      <c r="F7" s="26" t="str">
        <f ca="1">IFERROR(__xludf.DUMMYFUNCTION("""COMPUTED_VALUE"""),"Leena Nadkarni")</f>
        <v>Leena Nadkarni</v>
      </c>
      <c r="G7" s="26" t="str">
        <f ca="1">IFERROR(__xludf.DUMMYFUNCTION("""COMPUTED_VALUE"""),"leenanadkarni@cvpcorp.com")</f>
        <v>leenanadkarni@cvpcorp.com</v>
      </c>
      <c r="H7" s="26" t="str">
        <f ca="1">IFERROR(__xludf.DUMMYFUNCTION("""COMPUTED_VALUE"""),"571-363-5088")</f>
        <v>571-363-5088</v>
      </c>
      <c r="I7" s="26" t="str">
        <f ca="1">IFERROR(__xludf.DUMMYFUNCTION("""COMPUTED_VALUE"""),"Allison Bacharach")</f>
        <v>Allison Bacharach</v>
      </c>
      <c r="J7" s="26" t="str">
        <f ca="1">IFERROR(__xludf.DUMMYFUNCTION("""COMPUTED_VALUE"""),"GSA.allisonbacharach@gmail.com")</f>
        <v>GSA.allisonbacharach@gmail.com</v>
      </c>
      <c r="K7" s="26" t="str">
        <f ca="1">IFERROR(__xludf.DUMMYFUNCTION("""COMPUTED_VALUE"""),"215-290-9596")</f>
        <v>215-290-9596</v>
      </c>
    </row>
    <row r="8" spans="1:11" ht="30" x14ac:dyDescent="0.25">
      <c r="A8" s="22" t="str">
        <f ca="1">IFERROR(__xludf.DUMMYFUNCTION("""COMPUTED_VALUE"""),"GS02Q16DCR0005")</f>
        <v>GS02Q16DCR0005</v>
      </c>
      <c r="B8" s="23" t="str">
        <f ca="1">IFERROR(__xludf.DUMMYFUNCTION("""COMPUTED_VALUE"""),"Booz Allen Hamilton, Inc")</f>
        <v>Booz Allen Hamilton, Inc</v>
      </c>
      <c r="C8" s="24" t="str">
        <f ca="1">IFERROR(__xludf.DUMMYFUNCTION("""COMPUTED_VALUE"""),"006928857")</f>
        <v>006928857</v>
      </c>
      <c r="D8" s="25" t="str">
        <f ca="1">IFERROR(__xludf.DUMMYFUNCTION("""COMPUTED_VALUE"""),"8283 Greensboro Drive, McLean, VA, 22102")</f>
        <v>8283 Greensboro Drive, McLean, VA, 22102</v>
      </c>
      <c r="E8" s="26" t="str">
        <f ca="1">IFERROR(__xludf.DUMMYFUNCTION("""COMPUTED_VALUE"""),"HCaTS@bah.com")</f>
        <v>HCaTS@bah.com</v>
      </c>
      <c r="F8" s="26" t="str">
        <f ca="1">IFERROR(__xludf.DUMMYFUNCTION("""COMPUTED_VALUE"""),"Sarah Scholl")</f>
        <v>Sarah Scholl</v>
      </c>
      <c r="G8" s="26" t="str">
        <f ca="1">IFERROR(__xludf.DUMMYFUNCTION("""COMPUTED_VALUE"""),"scholl_sarah@bah.com")</f>
        <v>scholl_sarah@bah.com</v>
      </c>
      <c r="H8" s="26" t="str">
        <f ca="1">IFERROR(__xludf.DUMMYFUNCTION("""COMPUTED_VALUE"""),"703-902-3703")</f>
        <v>703-902-3703</v>
      </c>
      <c r="I8" s="26" t="str">
        <f ca="1">IFERROR(__xludf.DUMMYFUNCTION("""COMPUTED_VALUE"""),"Tobias Heffernan")</f>
        <v>Tobias Heffernan</v>
      </c>
      <c r="J8" s="26" t="str">
        <f ca="1">IFERROR(__xludf.DUMMYFUNCTION("""COMPUTED_VALUE"""),"heffernan_tobias@bah.com")</f>
        <v>heffernan_tobias@bah.com</v>
      </c>
      <c r="K8" s="26" t="str">
        <f ca="1">IFERROR(__xludf.DUMMYFUNCTION("""COMPUTED_VALUE"""),"703-377-4359")</f>
        <v>703-377-4359</v>
      </c>
    </row>
    <row r="9" spans="1:11" ht="30" x14ac:dyDescent="0.25">
      <c r="A9" s="22" t="str">
        <f ca="1">IFERROR(__xludf.DUMMYFUNCTION("""COMPUTED_VALUE"""),"GS02Q16DCR0006")</f>
        <v>GS02Q16DCR0006</v>
      </c>
      <c r="B9" s="23" t="str">
        <f ca="1">IFERROR(__xludf.DUMMYFUNCTION("""COMPUTED_VALUE"""),"C2 Technologies, Inc")</f>
        <v>C2 Technologies, Inc</v>
      </c>
      <c r="C9" s="24" t="str">
        <f ca="1">IFERROR(__xludf.DUMMYFUNCTION("""COMPUTED_VALUE"""),"807021241")</f>
        <v>807021241</v>
      </c>
      <c r="D9" s="25" t="str">
        <f ca="1">IFERROR(__xludf.DUMMYFUNCTION("""COMPUTED_VALUE"""),"1921 Gallows Rd Ste 200, Vienna, VA 22182-3900")</f>
        <v>1921 Gallows Rd Ste 200, Vienna, VA 22182-3900</v>
      </c>
      <c r="E9" s="26" t="str">
        <f ca="1">IFERROR(__xludf.DUMMYFUNCTION("""COMPUTED_VALUE"""),"hcats@c2ti.com")</f>
        <v>hcats@c2ti.com</v>
      </c>
      <c r="F9" s="26" t="str">
        <f ca="1">IFERROR(__xludf.DUMMYFUNCTION("""COMPUTED_VALUE"""),"Dara Nicholls")</f>
        <v>Dara Nicholls</v>
      </c>
      <c r="G9" s="26" t="str">
        <f ca="1">IFERROR(__xludf.DUMMYFUNCTION("""COMPUTED_VALUE"""),"dnicholls@c2ti.com")</f>
        <v>dnicholls@c2ti.com</v>
      </c>
      <c r="H9" s="26" t="str">
        <f ca="1">IFERROR(__xludf.DUMMYFUNCTION("""COMPUTED_VALUE"""),"703-200-1441")</f>
        <v>703-200-1441</v>
      </c>
      <c r="I9" s="26" t="str">
        <f ca="1">IFERROR(__xludf.DUMMYFUNCTION("""COMPUTED_VALUE"""),"Ryan J. VandeMark")</f>
        <v>Ryan J. VandeMark</v>
      </c>
      <c r="J9" s="26" t="str">
        <f ca="1">IFERROR(__xludf.DUMMYFUNCTION("""COMPUTED_VALUE"""),"rvandemark@c2ti.com")</f>
        <v>rvandemark@c2ti.com</v>
      </c>
      <c r="K9" s="26" t="str">
        <f ca="1">IFERROR(__xludf.DUMMYFUNCTION("""COMPUTED_VALUE"""),"703-448-7946")</f>
        <v>703-448-7946</v>
      </c>
    </row>
    <row r="10" spans="1:11" ht="45" x14ac:dyDescent="0.25">
      <c r="A10" s="22" t="str">
        <f ca="1">IFERROR(__xludf.DUMMYFUNCTION("""COMPUTED_VALUE"""),"GS02Q16DCR0007")</f>
        <v>GS02Q16DCR0007</v>
      </c>
      <c r="B10" s="23" t="str">
        <f ca="1">IFERROR(__xludf.DUMMYFUNCTION("""COMPUTED_VALUE"""),"Calibre Systems, Inc")</f>
        <v>Calibre Systems, Inc</v>
      </c>
      <c r="C10" s="24" t="str">
        <f ca="1">IFERROR(__xludf.DUMMYFUNCTION("""COMPUTED_VALUE"""),"555498187")</f>
        <v>555498187</v>
      </c>
      <c r="D10" s="25" t="str">
        <f ca="1">IFERROR(__xludf.DUMMYFUNCTION("""COMPUTED_VALUE"""),"6361 Walker Lane,
Metro Park, Suite 1100
Alexandria, VA 22310-3275")</f>
        <v>6361 Walker Lane,
Metro Park, Suite 1100
Alexandria, VA 22310-3275</v>
      </c>
      <c r="E10" s="26" t="str">
        <f ca="1">IFERROR(__xludf.DUMMYFUNCTION("""COMPUTED_VALUE"""),"HCaTS@calibresys.com")</f>
        <v>HCaTS@calibresys.com</v>
      </c>
      <c r="F10" s="26" t="str">
        <f ca="1">IFERROR(__xludf.DUMMYFUNCTION("""COMPUTED_VALUE"""),"Owen Lovejoy")</f>
        <v>Owen Lovejoy</v>
      </c>
      <c r="G10" s="26" t="str">
        <f ca="1">IFERROR(__xludf.DUMMYFUNCTION("""COMPUTED_VALUE"""),"owen.lovejoy@calibresys.com")</f>
        <v>owen.lovejoy@calibresys.com</v>
      </c>
      <c r="H10" s="26" t="str">
        <f ca="1">IFERROR(__xludf.DUMMYFUNCTION("""COMPUTED_VALUE"""),"(703)-797-8500")</f>
        <v>(703)-797-8500</v>
      </c>
      <c r="I10" s="26" t="str">
        <f ca="1">IFERROR(__xludf.DUMMYFUNCTION("""COMPUTED_VALUE"""),"Barbara Richitt")</f>
        <v>Barbara Richitt</v>
      </c>
      <c r="J10" s="26" t="str">
        <f ca="1">IFERROR(__xludf.DUMMYFUNCTION("""COMPUTED_VALUE"""),"Contracts@calibresys.com, barbara.richitt@calibresys.com")</f>
        <v>Contracts@calibresys.com, barbara.richitt@calibresys.com</v>
      </c>
      <c r="K10" s="26" t="str">
        <f ca="1">IFERROR(__xludf.DUMMYFUNCTION("""COMPUTED_VALUE"""),"202-251-2194")</f>
        <v>202-251-2194</v>
      </c>
    </row>
    <row r="11" spans="1:11" ht="30" x14ac:dyDescent="0.25">
      <c r="A11" s="22" t="str">
        <f ca="1">IFERROR(__xludf.DUMMYFUNCTION("""COMPUTED_VALUE"""),"GS02Q16DCR0009")</f>
        <v>GS02Q16DCR0009</v>
      </c>
      <c r="B11" s="23" t="str">
        <f ca="1">IFERROR(__xludf.DUMMYFUNCTION("""COMPUTED_VALUE"""),"Carley Corporation")</f>
        <v>Carley Corporation</v>
      </c>
      <c r="C11" s="24" t="str">
        <f ca="1">IFERROR(__xludf.DUMMYFUNCTION("""COMPUTED_VALUE"""),"626579684")</f>
        <v>626579684</v>
      </c>
      <c r="D11" s="25" t="str">
        <f ca="1">IFERROR(__xludf.DUMMYFUNCTION("""COMPUTED_VALUE"""),"12802 Science Drive, Ste 300, Orlando, FL 32826")</f>
        <v>12802 Science Drive, Ste 300, Orlando, FL 32826</v>
      </c>
      <c r="E11" s="26" t="str">
        <f ca="1">IFERROR(__xludf.DUMMYFUNCTION("""COMPUTED_VALUE"""),"contracts@carleycorp.com ")</f>
        <v xml:space="preserve">contracts@carleycorp.com </v>
      </c>
      <c r="F11" s="26" t="str">
        <f ca="1">IFERROR(__xludf.DUMMYFUNCTION("""COMPUTED_VALUE"""),"Peter Farkas")</f>
        <v>Peter Farkas</v>
      </c>
      <c r="G11" s="26" t="str">
        <f ca="1">IFERROR(__xludf.DUMMYFUNCTION("""COMPUTED_VALUE"""),"pfarkas@carleycorp.com")</f>
        <v>pfarkas@carleycorp.com</v>
      </c>
      <c r="H11" s="26" t="str">
        <f ca="1">IFERROR(__xludf.DUMMYFUNCTION("""COMPUTED_VALUE"""),"407-377-1352")</f>
        <v>407-377-1352</v>
      </c>
      <c r="I11" s="26" t="str">
        <f ca="1">IFERROR(__xludf.DUMMYFUNCTION("""COMPUTED_VALUE"""),"Afshan Baharmast")</f>
        <v>Afshan Baharmast</v>
      </c>
      <c r="J11" s="26" t="str">
        <f ca="1">IFERROR(__xludf.DUMMYFUNCTION("""COMPUTED_VALUE"""),"abaharmast@carleycorp.com")</f>
        <v>abaharmast@carleycorp.com</v>
      </c>
      <c r="K11" s="26" t="str">
        <f ca="1">IFERROR(__xludf.DUMMYFUNCTION("""COMPUTED_VALUE"""),"407-377-1345")</f>
        <v>407-377-1345</v>
      </c>
    </row>
    <row r="12" spans="1:11" ht="30" x14ac:dyDescent="0.25">
      <c r="A12" s="22" t="str">
        <f ca="1">IFERROR(__xludf.DUMMYFUNCTION("""COMPUTED_VALUE"""),"GS02Q16DCR0116")</f>
        <v>GS02Q16DCR0116</v>
      </c>
      <c r="B12" s="23" t="str">
        <f ca="1">IFERROR(__xludf.DUMMYFUNCTION("""COMPUTED_VALUE"""),"Colleague Consulting, LLC")</f>
        <v>Colleague Consulting, LLC</v>
      </c>
      <c r="C12" s="24" t="str">
        <f ca="1">IFERROR(__xludf.DUMMYFUNCTION("""COMPUTED_VALUE"""),"137058413")</f>
        <v>137058413</v>
      </c>
      <c r="D12" s="25" t="str">
        <f ca="1">IFERROR(__xludf.DUMMYFUNCTION("""COMPUTED_VALUE"""),"7500 Greenway Center Drive, Suite 200, Greenbelt, MD 20770")</f>
        <v>7500 Greenway Center Drive, Suite 200, Greenbelt, MD 20770</v>
      </c>
      <c r="E12" s="26" t="str">
        <f ca="1">IFERROR(__xludf.DUMMYFUNCTION("""COMPUTED_VALUE"""),"hcats@colleagueconsulting.com")</f>
        <v>hcats@colleagueconsulting.com</v>
      </c>
      <c r="F12" s="26" t="str">
        <f ca="1">IFERROR(__xludf.DUMMYFUNCTION("""COMPUTED_VALUE"""),"Maya Larson")</f>
        <v>Maya Larson</v>
      </c>
      <c r="G12" s="26" t="str">
        <f ca="1">IFERROR(__xludf.DUMMYFUNCTION("""COMPUTED_VALUE"""),"mlarson@colleagueconsulting.com")</f>
        <v>mlarson@colleagueconsulting.com</v>
      </c>
      <c r="H12" s="26" t="str">
        <f ca="1">IFERROR(__xludf.DUMMYFUNCTION("""COMPUTED_VALUE"""),"301-277-0255 x102")</f>
        <v>301-277-0255 x102</v>
      </c>
      <c r="I12" s="26" t="str">
        <f ca="1">IFERROR(__xludf.DUMMYFUNCTION("""COMPUTED_VALUE"""),"Michelle Ruble")</f>
        <v>Michelle Ruble</v>
      </c>
      <c r="J12" s="26" t="str">
        <f ca="1">IFERROR(__xludf.DUMMYFUNCTION("""COMPUTED_VALUE"""),"mruble@colleagueconsulting.com")</f>
        <v>mruble@colleagueconsulting.com</v>
      </c>
      <c r="K12" s="26" t="str">
        <f ca="1">IFERROR(__xludf.DUMMYFUNCTION("""COMPUTED_VALUE"""),"(301) 453-7369")</f>
        <v>(301) 453-7369</v>
      </c>
    </row>
    <row r="13" spans="1:11" ht="30" x14ac:dyDescent="0.25">
      <c r="A13" s="22" t="str">
        <f ca="1">IFERROR(__xludf.DUMMYFUNCTION("""COMPUTED_VALUE"""),"GS02Q16DCR0013")</f>
        <v>GS02Q16DCR0013</v>
      </c>
      <c r="B13" s="23" t="str">
        <f ca="1">IFERROR(__xludf.DUMMYFUNCTION("""COMPUTED_VALUE"""),"Deloitte Consulting LLP")</f>
        <v>Deloitte Consulting LLP</v>
      </c>
      <c r="C13" s="24" t="str">
        <f ca="1">IFERROR(__xludf.DUMMYFUNCTION("""COMPUTED_VALUE"""),"019121586")</f>
        <v>019121586</v>
      </c>
      <c r="D13" s="25" t="str">
        <f ca="1">IFERROR(__xludf.DUMMYFUNCTION("""COMPUTED_VALUE"""),"1919 N Lynn St, Arlington, VA, 22209-1742")</f>
        <v>1919 N Lynn St, Arlington, VA, 22209-1742</v>
      </c>
      <c r="E13" s="26" t="str">
        <f ca="1">IFERROR(__xludf.DUMMYFUNCTION("""COMPUTED_VALUE"""),"usgsahcats@deloitte.com")</f>
        <v>usgsahcats@deloitte.com</v>
      </c>
      <c r="F13" s="26" t="str">
        <f ca="1">IFERROR(__xludf.DUMMYFUNCTION("""COMPUTED_VALUE"""),"Roger Sion")</f>
        <v>Roger Sion</v>
      </c>
      <c r="G13" s="26" t="str">
        <f ca="1">IFERROR(__xludf.DUMMYFUNCTION("""COMPUTED_VALUE"""),"rsion@deloitte.com")</f>
        <v>rsion@deloitte.com</v>
      </c>
      <c r="H13" s="26" t="str">
        <f ca="1">IFERROR(__xludf.DUMMYFUNCTION("""COMPUTED_VALUE"""),"571-882-8123")</f>
        <v>571-882-8123</v>
      </c>
      <c r="I13" s="26" t="str">
        <f ca="1">IFERROR(__xludf.DUMMYFUNCTION("""COMPUTED_VALUE"""),"Nancy Dunn")</f>
        <v>Nancy Dunn</v>
      </c>
      <c r="J13" s="26" t="str">
        <f ca="1">IFERROR(__xludf.DUMMYFUNCTION("""COMPUTED_VALUE"""),"nadunn@deloitte.com")</f>
        <v>nadunn@deloitte.com</v>
      </c>
      <c r="K13" s="26" t="str">
        <f ca="1">IFERROR(__xludf.DUMMYFUNCTION("""COMPUTED_VALUE""")," 703-251-1143")</f>
        <v xml:space="preserve"> 703-251-1143</v>
      </c>
    </row>
    <row r="14" spans="1:11" ht="30" x14ac:dyDescent="0.25">
      <c r="A14" s="22" t="str">
        <f ca="1">IFERROR(__xludf.DUMMYFUNCTION("""COMPUTED_VALUE"""),"47QREB22D0012")</f>
        <v>47QREB22D0012</v>
      </c>
      <c r="B14" s="23" t="str">
        <f ca="1">IFERROR(__xludf.DUMMYFUNCTION("""COMPUTED_VALUE"""),"Fors Marsh Group, LLC")</f>
        <v>Fors Marsh Group, LLC</v>
      </c>
      <c r="C14" s="24" t="str">
        <f ca="1">IFERROR(__xludf.DUMMYFUNCTION("""COMPUTED_VALUE"""),"129842667")</f>
        <v>129842667</v>
      </c>
      <c r="D14" s="25" t="str">
        <f ca="1">IFERROR(__xludf.DUMMYFUNCTION("""COMPUTED_VALUE"""),"1010 N. Glebe Rd, Ste 510, Arlington VA 22201           ")</f>
        <v xml:space="preserve">1010 N. Glebe Rd, Ste 510, Arlington VA 22201           </v>
      </c>
      <c r="E14" s="26" t="str">
        <f ca="1">IFERROR(__xludf.DUMMYFUNCTION("""COMPUTED_VALUE"""),"HCATS@ForsMarshGroup.com")</f>
        <v>HCATS@ForsMarshGroup.com</v>
      </c>
      <c r="F14" s="26" t="str">
        <f ca="1">IFERROR(__xludf.DUMMYFUNCTION("""COMPUTED_VALUE"""),"Ben Garthwaite")</f>
        <v>Ben Garthwaite</v>
      </c>
      <c r="G14" s="26" t="str">
        <f ca="1">IFERROR(__xludf.DUMMYFUNCTION("""COMPUTED_VALUE"""),"bgarthwaite@forsmarshgroup.com")</f>
        <v>bgarthwaite@forsmarshgroup.com</v>
      </c>
      <c r="H14" s="26" t="str">
        <f ca="1">IFERROR(__xludf.DUMMYFUNCTION("""COMPUTED_VALUE"""),"571-858-3799")</f>
        <v>571-858-3799</v>
      </c>
      <c r="I14" s="26" t="str">
        <f ca="1">IFERROR(__xludf.DUMMYFUNCTION("""COMPUTED_VALUE"""),"Patrick Samsel")</f>
        <v>Patrick Samsel</v>
      </c>
      <c r="J14" s="26" t="str">
        <f ca="1">IFERROR(__xludf.DUMMYFUNCTION("""COMPUTED_VALUE"""),"psamsel@forsmarshgroup.com")</f>
        <v>psamsel@forsmarshgroup.com</v>
      </c>
      <c r="K14" s="26" t="str">
        <f ca="1">IFERROR(__xludf.DUMMYFUNCTION("""COMPUTED_VALUE"""),"571-303-2895")</f>
        <v>571-303-2895</v>
      </c>
    </row>
    <row r="15" spans="1:11" ht="30" x14ac:dyDescent="0.25">
      <c r="A15" s="22" t="str">
        <f ca="1">IFERROR(__xludf.DUMMYFUNCTION("""COMPUTED_VALUE"""),"GS02Q16DCR0016")</f>
        <v>GS02Q16DCR0016</v>
      </c>
      <c r="B15" s="23" t="str">
        <f ca="1">IFERROR(__xludf.DUMMYFUNCTION("""COMPUTED_VALUE"""),"General Dynamics Information Technology, Inc")</f>
        <v>General Dynamics Information Technology, Inc</v>
      </c>
      <c r="C15" s="24" t="str">
        <f ca="1">IFERROR(__xludf.DUMMYFUNCTION("""COMPUTED_VALUE"""),"067641597")</f>
        <v>067641597</v>
      </c>
      <c r="D15" s="25" t="str">
        <f ca="1">IFERROR(__xludf.DUMMYFUNCTION("""COMPUTED_VALUE"""),"3150 Fairview Park Dr Ste 100, Falls Church, VA, 22042-4504")</f>
        <v>3150 Fairview Park Dr Ste 100, Falls Church, VA, 22042-4504</v>
      </c>
      <c r="E15" s="26" t="str">
        <f ca="1">IFERROR(__xludf.DUMMYFUNCTION("""COMPUTED_VALUE"""),"gditgsa@gdit.com")</f>
        <v>gditgsa@gdit.com</v>
      </c>
      <c r="F15" s="26" t="str">
        <f ca="1">IFERROR(__xludf.DUMMYFUNCTION("""COMPUTED_VALUE"""),"Steve Felber")</f>
        <v>Steve Felber</v>
      </c>
      <c r="G15" s="26" t="str">
        <f ca="1">IFERROR(__xludf.DUMMYFUNCTION("""COMPUTED_VALUE"""),"Steve.Felber@gdit.com")</f>
        <v>Steve.Felber@gdit.com</v>
      </c>
      <c r="H15" s="26" t="str">
        <f ca="1">IFERROR(__xludf.DUMMYFUNCTION("""COMPUTED_VALUE"""),"571-533-3195")</f>
        <v>571-533-3195</v>
      </c>
      <c r="I15" s="26" t="str">
        <f ca="1">IFERROR(__xludf.DUMMYFUNCTION("""COMPUTED_VALUE"""),"Elisa Rhee")</f>
        <v>Elisa Rhee</v>
      </c>
      <c r="J15" s="26" t="str">
        <f ca="1">IFERROR(__xludf.DUMMYFUNCTION("""COMPUTED_VALUE"""),"elisa.rhee@gdit.com")</f>
        <v>elisa.rhee@gdit.com</v>
      </c>
      <c r="K15" s="26" t="str">
        <f ca="1">IFERROR(__xludf.DUMMYFUNCTION("""COMPUTED_VALUE"""),"703-270-1074")</f>
        <v>703-270-1074</v>
      </c>
    </row>
    <row r="16" spans="1:11" ht="30" x14ac:dyDescent="0.25">
      <c r="A16" s="22" t="str">
        <f ca="1">IFERROR(__xludf.DUMMYFUNCTION("""COMPUTED_VALUE"""),"GS02Q16DCR0017")</f>
        <v>GS02Q16DCR0017</v>
      </c>
      <c r="B16" s="23" t="str">
        <f ca="1">IFERROR(__xludf.DUMMYFUNCTION("""COMPUTED_VALUE"""),"GP Strategies Corporation")</f>
        <v>GP Strategies Corporation</v>
      </c>
      <c r="C16" s="24" t="str">
        <f ca="1">IFERROR(__xludf.DUMMYFUNCTION("""COMPUTED_VALUE"""),"047799267")</f>
        <v>047799267</v>
      </c>
      <c r="D16" s="25" t="str">
        <f ca="1">IFERROR(__xludf.DUMMYFUNCTION("""COMPUTED_VALUE"""),"11000 Broken Land Parkway, Suite 200, Columbia, MD 21044")</f>
        <v>11000 Broken Land Parkway, Suite 200, Columbia, MD 21044</v>
      </c>
      <c r="E16" s="26" t="str">
        <f ca="1">IFERROR(__xludf.DUMMYFUNCTION("""COMPUTED_VALUE"""),"GSA_HCaTS@gpstrategies.com")</f>
        <v>GSA_HCaTS@gpstrategies.com</v>
      </c>
      <c r="F16" s="26" t="str">
        <f ca="1">IFERROR(__xludf.DUMMYFUNCTION("""COMPUTED_VALUE"""),"David Ziegler")</f>
        <v>David Ziegler</v>
      </c>
      <c r="G16" s="26" t="str">
        <f ca="1">IFERROR(__xludf.DUMMYFUNCTION("""COMPUTED_VALUE"""),"DZiegler@gpstrategies.com")</f>
        <v>DZiegler@gpstrategies.com</v>
      </c>
      <c r="H16" s="26" t="str">
        <f ca="1">IFERROR(__xludf.DUMMYFUNCTION("""COMPUTED_VALUE"""),"(443) 367-9646")</f>
        <v>(443) 367-9646</v>
      </c>
      <c r="I16" s="26" t="str">
        <f ca="1">IFERROR(__xludf.DUMMYFUNCTION("""COMPUTED_VALUE"""),"Kristina Sakash")</f>
        <v>Kristina Sakash</v>
      </c>
      <c r="J16" s="26" t="str">
        <f ca="1">IFERROR(__xludf.DUMMYFUNCTION("""COMPUTED_VALUE"""),"ksakash@gpstrategies.com")</f>
        <v>ksakash@gpstrategies.com</v>
      </c>
      <c r="K16" s="26" t="str">
        <f ca="1">IFERROR(__xludf.DUMMYFUNCTION("""COMPUTED_VALUE"""),"(667) 260-7404")</f>
        <v>(667) 260-7404</v>
      </c>
    </row>
    <row r="17" spans="1:11" ht="30" x14ac:dyDescent="0.25">
      <c r="A17" s="22" t="str">
        <f ca="1">IFERROR(__xludf.DUMMYFUNCTION("""COMPUTED_VALUE"""),"GS02Q16DCR0027")</f>
        <v>GS02Q16DCR0027</v>
      </c>
      <c r="B17" s="23" t="str">
        <f ca="1">IFERROR(__xludf.DUMMYFUNCTION("""COMPUTED_VALUE"""),"Guidehouse, Inc")</f>
        <v>Guidehouse, Inc</v>
      </c>
      <c r="C17" s="24" t="str">
        <f ca="1">IFERROR(__xludf.DUMMYFUNCTION("""COMPUTED_VALUE"""),"022582428")</f>
        <v>022582428</v>
      </c>
      <c r="D17" s="25" t="str">
        <f ca="1">IFERROR(__xludf.DUMMYFUNCTION("""COMPUTED_VALUE"""),"1676 INTERNATIONAL DR STE 800
MCLEAN, VA 22102-3600")</f>
        <v>1676 INTERNATIONAL DR STE 800
MCLEAN, VA 22102-3600</v>
      </c>
      <c r="E17" s="26" t="str">
        <f ca="1">IFERROR(__xludf.DUMMYFUNCTION("""COMPUTED_VALUE"""),"GSA_HCaTS@guidehouse.com")</f>
        <v>GSA_HCaTS@guidehouse.com</v>
      </c>
      <c r="F17" s="26" t="str">
        <f ca="1">IFERROR(__xludf.DUMMYFUNCTION("""COMPUTED_VALUE"""),"Benjamin Marks")</f>
        <v>Benjamin Marks</v>
      </c>
      <c r="G17" s="26" t="str">
        <f ca="1">IFERROR(__xludf.DUMMYFUNCTION("""COMPUTED_VALUE"""),"bmarks@guidehouse.com")</f>
        <v>bmarks@guidehouse.com</v>
      </c>
      <c r="H17" s="26" t="str">
        <f ca="1">IFERROR(__xludf.DUMMYFUNCTION("""COMPUTED_VALUE"""),"571-579-3156")</f>
        <v>571-579-3156</v>
      </c>
      <c r="I17" s="26" t="str">
        <f ca="1">IFERROR(__xludf.DUMMYFUNCTION("""COMPUTED_VALUE"""),"Chavaughn Stith")</f>
        <v>Chavaughn Stith</v>
      </c>
      <c r="J17" s="26" t="str">
        <f ca="1">IFERROR(__xludf.DUMMYFUNCTION("""COMPUTED_VALUE"""),"cstith@guidehouse.com")</f>
        <v>cstith@guidehouse.com</v>
      </c>
      <c r="K17" s="26" t="str">
        <f ca="1">IFERROR(__xludf.DUMMYFUNCTION("""COMPUTED_VALUE"""),"(301) 219-6990")</f>
        <v>(301) 219-6990</v>
      </c>
    </row>
    <row r="18" spans="1:11" ht="45" x14ac:dyDescent="0.25">
      <c r="A18" s="22" t="str">
        <f ca="1">IFERROR(__xludf.DUMMYFUNCTION("""COMPUTED_VALUE"""),"GS02Q16DCR0008")</f>
        <v>GS02Q16DCR0008</v>
      </c>
      <c r="B18" s="23" t="str">
        <f ca="1">IFERROR(__xludf.DUMMYFUNCTION("""COMPUTED_VALUE"""),"HII Mission Driven Innovative Solutions Inc")</f>
        <v>HII Mission Driven Innovative Solutions Inc</v>
      </c>
      <c r="C18" s="24" t="str">
        <f ca="1">IFERROR(__xludf.DUMMYFUNCTION("""COMPUTED_VALUE"""),"609570742")</f>
        <v>609570742</v>
      </c>
      <c r="D18" s="25" t="str">
        <f ca="1">IFERROR(__xludf.DUMMYFUNCTION("""COMPUTED_VALUE"""),"977 Explorer BLVD
Huntsville, Alabama
35806-2807")</f>
        <v>977 Explorer BLVD
Huntsville, Alabama
35806-2807</v>
      </c>
      <c r="E18" s="26" t="str">
        <f ca="1">IFERROR(__xludf.DUMMYFUNCTION("""COMPUTED_VALUE"""),"HCATS@hii-tsd.com")</f>
        <v>HCATS@hii-tsd.com</v>
      </c>
      <c r="F18" s="26" t="str">
        <f ca="1">IFERROR(__xludf.DUMMYFUNCTION("""COMPUTED_VALUE"""),"Craig Thomas")</f>
        <v>Craig Thomas</v>
      </c>
      <c r="G18" s="26" t="str">
        <f ca="1">IFERROR(__xludf.DUMMYFUNCTION("""COMPUTED_VALUE"""),"craig.thomas@hii-tsd.com")</f>
        <v>craig.thomas@hii-tsd.com</v>
      </c>
      <c r="H18" s="26" t="str">
        <f ca="1">IFERROR(__xludf.DUMMYFUNCTION("""COMPUTED_VALUE"""),"571-302-1661")</f>
        <v>571-302-1661</v>
      </c>
      <c r="I18" s="26" t="str">
        <f ca="1">IFERROR(__xludf.DUMMYFUNCTION("""COMPUTED_VALUE"""),"Kelly Bower")</f>
        <v>Kelly Bower</v>
      </c>
      <c r="J18" s="26" t="str">
        <f ca="1">IFERROR(__xludf.DUMMYFUNCTION("""COMPUTED_VALUE"""),"Kelly.Bower@hii-tsd.com")</f>
        <v>Kelly.Bower@hii-tsd.com</v>
      </c>
      <c r="K18" s="26" t="str">
        <f ca="1">IFERROR(__xludf.DUMMYFUNCTION("""COMPUTED_VALUE"""),"703-543-2979")</f>
        <v>703-543-2979</v>
      </c>
    </row>
    <row r="19" spans="1:11" ht="45" x14ac:dyDescent="0.25">
      <c r="A19" s="22" t="str">
        <f ca="1">IFERROR(__xludf.DUMMYFUNCTION("""COMPUTED_VALUE"""),"GS02Q16DCR0019")</f>
        <v>GS02Q16DCR0019</v>
      </c>
      <c r="B19" s="23" t="str">
        <f ca="1">IFERROR(__xludf.DUMMYFUNCTION("""COMPUTED_VALUE"""),"ICF Incorporated, LLC")</f>
        <v>ICF Incorporated, LLC</v>
      </c>
      <c r="C19" s="24" t="str">
        <f ca="1">IFERROR(__xludf.DUMMYFUNCTION("""COMPUTED_VALUE"""),"072648579")</f>
        <v>072648579</v>
      </c>
      <c r="D19" s="25" t="str">
        <f ca="1">IFERROR(__xludf.DUMMYFUNCTION("""COMPUTED_VALUE"""),"1902 Reston Metro Plz, Reston VA 20190
")</f>
        <v xml:space="preserve">1902 Reston Metro Plz, Reston VA 20190
</v>
      </c>
      <c r="E19" s="26" t="str">
        <f ca="1">IFERROR(__xludf.DUMMYFUNCTION("""COMPUTED_VALUE"""),"ICF-HCaTS@icf.com")</f>
        <v>ICF-HCaTS@icf.com</v>
      </c>
      <c r="F19" s="26" t="str">
        <f ca="1">IFERROR(__xludf.DUMMYFUNCTION("""COMPUTED_VALUE"""),"Brian Cronin")</f>
        <v>Brian Cronin</v>
      </c>
      <c r="G19" s="26" t="str">
        <f ca="1">IFERROR(__xludf.DUMMYFUNCTION("""COMPUTED_VALUE"""),"Brian.Cronin@icf.com")</f>
        <v>Brian.Cronin@icf.com</v>
      </c>
      <c r="H19" s="26" t="str">
        <f ca="1">IFERROR(__xludf.DUMMYFUNCTION("""COMPUTED_VALUE"""),"512-770-4866")</f>
        <v>512-770-4866</v>
      </c>
      <c r="I19" s="26" t="str">
        <f ca="1">IFERROR(__xludf.DUMMYFUNCTION("""COMPUTED_VALUE"""),"Sanjeev Hirani")</f>
        <v>Sanjeev Hirani</v>
      </c>
      <c r="J19" s="26" t="str">
        <f ca="1">IFERROR(__xludf.DUMMYFUNCTION("""COMPUTED_VALUE"""),"sanjeev.hirani@icf.com")</f>
        <v>sanjeev.hirani@icf.com</v>
      </c>
      <c r="K19" s="26" t="str">
        <f ca="1">IFERROR(__xludf.DUMMYFUNCTION("""COMPUTED_VALUE"""),"703-225-5692")</f>
        <v>703-225-5692</v>
      </c>
    </row>
    <row r="20" spans="1:11" ht="30" x14ac:dyDescent="0.25">
      <c r="A20" s="22" t="str">
        <f ca="1">IFERROR(__xludf.DUMMYFUNCTION("""COMPUTED_VALUE"""),"GS02Q16DCR0018")</f>
        <v>GS02Q16DCR0018</v>
      </c>
      <c r="B20" s="23" t="str">
        <f ca="1">IFERROR(__xludf.DUMMYFUNCTION("""COMPUTED_VALUE"""),"International Business Machines Corporation (IBM)")</f>
        <v>International Business Machines Corporation (IBM)</v>
      </c>
      <c r="C20" s="24" t="str">
        <f ca="1">IFERROR(__xludf.DUMMYFUNCTION("""COMPUTED_VALUE"""),"835130485")</f>
        <v>835130485</v>
      </c>
      <c r="D20" s="25" t="str">
        <f ca="1">IFERROR(__xludf.DUMMYFUNCTION("""COMPUTED_VALUE"""),"6710 Rockledge Drive, Bethesda, MD 20817")</f>
        <v>6710 Rockledge Drive, Bethesda, MD 20817</v>
      </c>
      <c r="E20" s="26" t="str">
        <f ca="1">IFERROR(__xludf.DUMMYFUNCTION("""COMPUTED_VALUE"""),"ibmhcats@us.ibm.com")</f>
        <v>ibmhcats@us.ibm.com</v>
      </c>
      <c r="F20" s="26" t="str">
        <f ca="1">IFERROR(__xludf.DUMMYFUNCTION("""COMPUTED_VALUE"""),"Monica Hopkins")</f>
        <v>Monica Hopkins</v>
      </c>
      <c r="G20" s="26" t="str">
        <f ca="1">IFERROR(__xludf.DUMMYFUNCTION("""COMPUTED_VALUE"""),"monica.v.hopkins@us.ibm.com")</f>
        <v>monica.v.hopkins@us.ibm.com</v>
      </c>
      <c r="H20" s="26" t="str">
        <f ca="1">IFERROR(__xludf.DUMMYFUNCTION("""COMPUTED_VALUE"""),"301-908-3664")</f>
        <v>301-908-3664</v>
      </c>
      <c r="I20" s="26" t="str">
        <f ca="1">IFERROR(__xludf.DUMMYFUNCTION("""COMPUTED_VALUE"""),"Paul Bury")</f>
        <v>Paul Bury</v>
      </c>
      <c r="J20" s="26" t="str">
        <f ca="1">IFERROR(__xludf.DUMMYFUNCTION("""COMPUTED_VALUE"""),"pbury@us.ibm.com")</f>
        <v>pbury@us.ibm.com</v>
      </c>
      <c r="K20" s="26" t="str">
        <f ca="1">IFERROR(__xludf.DUMMYFUNCTION("""COMPUTED_VALUE"""),"720-841-7984")</f>
        <v>720-841-7984</v>
      </c>
    </row>
    <row r="21" spans="1:11" ht="30" x14ac:dyDescent="0.25">
      <c r="A21" s="22" t="str">
        <f ca="1">IFERROR(__xludf.DUMMYFUNCTION("""COMPUTED_VALUE"""),"GS02Q16DCR0020")</f>
        <v>GS02Q16DCR0020</v>
      </c>
      <c r="B21" s="23" t="str">
        <f ca="1">IFERROR(__xludf.DUMMYFUNCTION("""COMPUTED_VALUE"""),"KeyBridge Technologies, Inc")</f>
        <v>KeyBridge Technologies, Inc</v>
      </c>
      <c r="C21" s="24" t="str">
        <f ca="1">IFERROR(__xludf.DUMMYFUNCTION("""COMPUTED_VALUE"""),"125944442")</f>
        <v>125944442</v>
      </c>
      <c r="D21" s="25" t="str">
        <f ca="1">IFERROR(__xludf.DUMMYFUNCTION("""COMPUTED_VALUE"""),"4415 Highline Boulevard, Oklahoma City, OK 73108-1759")</f>
        <v>4415 Highline Boulevard, Oklahoma City, OK 73108-1759</v>
      </c>
      <c r="E21" s="26" t="str">
        <f ca="1">IFERROR(__xludf.DUMMYFUNCTION("""COMPUTED_VALUE"""),"HCaTS@keybridgeti.com")</f>
        <v>HCaTS@keybridgeti.com</v>
      </c>
      <c r="F21" s="26" t="str">
        <f ca="1">IFERROR(__xludf.DUMMYFUNCTION("""COMPUTED_VALUE"""),"Simon Hsu")</f>
        <v>Simon Hsu</v>
      </c>
      <c r="G21" s="26" t="str">
        <f ca="1">IFERROR(__xludf.DUMMYFUNCTION("""COMPUTED_VALUE"""),"Simon.Hsu@KeyBridgeTI.com")</f>
        <v>Simon.Hsu@KeyBridgeTI.com</v>
      </c>
      <c r="H21" s="26" t="str">
        <f ca="1">IFERROR(__xludf.DUMMYFUNCTION("""COMPUTED_VALUE"""),"405-213-1880")</f>
        <v>405-213-1880</v>
      </c>
      <c r="I21" s="26" t="str">
        <f ca="1">IFERROR(__xludf.DUMMYFUNCTION("""COMPUTED_VALUE"""),"Kip Harbert")</f>
        <v>Kip Harbert</v>
      </c>
      <c r="J21" s="26" t="str">
        <f ca="1">IFERROR(__xludf.DUMMYFUNCTION("""COMPUTED_VALUE"""),"Contracts@keybridgeti.com")</f>
        <v>Contracts@keybridgeti.com</v>
      </c>
      <c r="K21" s="26" t="str">
        <f ca="1">IFERROR(__xludf.DUMMYFUNCTION("""COMPUTED_VALUE"""),"(405) 213-1880")</f>
        <v>(405) 213-1880</v>
      </c>
    </row>
    <row r="22" spans="1:11" ht="30" x14ac:dyDescent="0.25">
      <c r="A22" s="22" t="str">
        <f ca="1">IFERROR(__xludf.DUMMYFUNCTION("""COMPUTED_VALUE"""),"GS02Q16DCR0022")</f>
        <v>GS02Q16DCR0022</v>
      </c>
      <c r="B22" s="23" t="str">
        <f ca="1">IFERROR(__xludf.DUMMYFUNCTION("""COMPUTED_VALUE"""),"Leidos, Inc")</f>
        <v>Leidos, Inc</v>
      </c>
      <c r="C22" s="24" t="str">
        <f ca="1">IFERROR(__xludf.DUMMYFUNCTION("""COMPUTED_VALUE"""),"080272604")</f>
        <v>080272604</v>
      </c>
      <c r="D22" s="25" t="str">
        <f ca="1">IFERROR(__xludf.DUMMYFUNCTION("""COMPUTED_VALUE"""),"9737 Washingtonian Blvd
Gaithersburg, MD, 20878-7337")</f>
        <v>9737 Washingtonian Blvd
Gaithersburg, MD, 20878-7337</v>
      </c>
      <c r="E22" s="26" t="str">
        <f ca="1">IFERROR(__xludf.DUMMYFUNCTION("""COMPUTED_VALUE"""),"HCaTS-PMO@leidos.com")</f>
        <v>HCaTS-PMO@leidos.com</v>
      </c>
      <c r="F22" s="26" t="str">
        <f ca="1">IFERROR(__xludf.DUMMYFUNCTION("""COMPUTED_VALUE"""),"Kathleen Ott")</f>
        <v>Kathleen Ott</v>
      </c>
      <c r="G22" s="26" t="str">
        <f ca="1">IFERROR(__xludf.DUMMYFUNCTION("""COMPUTED_VALUE"""),"kathleen.a.ott@leidos.com")</f>
        <v>kathleen.a.ott@leidos.com</v>
      </c>
      <c r="H22" s="26" t="str">
        <f ca="1">IFERROR(__xludf.DUMMYFUNCTION("""COMPUTED_VALUE"""),"571-421-5761")</f>
        <v>571-421-5761</v>
      </c>
      <c r="I22" s="26" t="str">
        <f ca="1">IFERROR(__xludf.DUMMYFUNCTION("""COMPUTED_VALUE"""),"Barbara Koenig")</f>
        <v>Barbara Koenig</v>
      </c>
      <c r="J22" s="26" t="str">
        <f ca="1">IFERROR(__xludf.DUMMYFUNCTION("""COMPUTED_VALUE"""),"barbara.koenig@leidos.com")</f>
        <v>barbara.koenig@leidos.com</v>
      </c>
      <c r="K22" s="26" t="str">
        <f ca="1">IFERROR(__xludf.DUMMYFUNCTION("""COMPUTED_VALUE"""),"301-253-9447")</f>
        <v>301-253-9447</v>
      </c>
    </row>
    <row r="23" spans="1:11" ht="30" x14ac:dyDescent="0.25">
      <c r="A23" s="22" t="str">
        <f ca="1">IFERROR(__xludf.DUMMYFUNCTION("""COMPUTED_VALUE"""),"GS02Q16DCR0021")</f>
        <v>GS02Q16DCR0021</v>
      </c>
      <c r="B23" s="23" t="str">
        <f ca="1">IFERROR(__xludf.DUMMYFUNCTION("""COMPUTED_VALUE"""),"LMI Consulting, LLC ")</f>
        <v xml:space="preserve">LMI Consulting, LLC </v>
      </c>
      <c r="C23" s="24" t="str">
        <f ca="1">IFERROR(__xludf.DUMMYFUNCTION("""COMPUTED_VALUE"""),"117404874")</f>
        <v>117404874</v>
      </c>
      <c r="D23" s="25" t="str">
        <f ca="1">IFERROR(__xludf.DUMMYFUNCTION("""COMPUTED_VALUE"""),"7940 Jones Branch Drive, McLean, VA, 22102-3381")</f>
        <v>7940 Jones Branch Drive, McLean, VA, 22102-3381</v>
      </c>
      <c r="E23" s="26" t="str">
        <f ca="1">IFERROR(__xludf.DUMMYFUNCTION("""COMPUTED_VALUE"""),"LMIHCaTS@lmi.org")</f>
        <v>LMIHCaTS@lmi.org</v>
      </c>
      <c r="F23" s="26" t="str">
        <f ca="1">IFERROR(__xludf.DUMMYFUNCTION("""COMPUTED_VALUE"""),"Mike Flanagan")</f>
        <v>Mike Flanagan</v>
      </c>
      <c r="G23" s="26" t="str">
        <f ca="1">IFERROR(__xludf.DUMMYFUNCTION("""COMPUTED_VALUE"""),"mflanagan@lmi.org")</f>
        <v>mflanagan@lmi.org</v>
      </c>
      <c r="H23" s="26" t="str">
        <f ca="1">IFERROR(__xludf.DUMMYFUNCTION("""COMPUTED_VALUE"""),"(804) 451-2126")</f>
        <v>(804) 451-2126</v>
      </c>
      <c r="I23" s="26" t="str">
        <f ca="1">IFERROR(__xludf.DUMMYFUNCTION("""COMPUTED_VALUE"""),"Susan Ford")</f>
        <v>Susan Ford</v>
      </c>
      <c r="J23" s="26" t="str">
        <f ca="1">IFERROR(__xludf.DUMMYFUNCTION("""COMPUTED_VALUE"""),"sford@lmi.org")</f>
        <v>sford@lmi.org</v>
      </c>
      <c r="K23" s="26" t="str">
        <f ca="1">IFERROR(__xludf.DUMMYFUNCTION("""COMPUTED_VALUE"""),"(703) 917-7524")</f>
        <v>(703) 917-7524</v>
      </c>
    </row>
    <row r="24" spans="1:11" ht="30" x14ac:dyDescent="0.25">
      <c r="A24" s="22" t="str">
        <f ca="1">IFERROR(__xludf.DUMMYFUNCTION("""COMPUTED_VALUE"""),"GS02Q16DCR0023")</f>
        <v>GS02Q16DCR0023</v>
      </c>
      <c r="B24" s="23" t="str">
        <f ca="1">IFERROR(__xludf.DUMMYFUNCTION("""COMPUTED_VALUE"""),"Management Concepts, Inc")</f>
        <v>Management Concepts, Inc</v>
      </c>
      <c r="C24" s="24" t="str">
        <f ca="1">IFERROR(__xludf.DUMMYFUNCTION("""COMPUTED_VALUE"""),"082355652")</f>
        <v>082355652</v>
      </c>
      <c r="D24" s="25" t="str">
        <f ca="1">IFERROR(__xludf.DUMMYFUNCTION("""COMPUTED_VALUE"""),"8230 Leesburg Pike, Suite 800, Tysons Corner, VA 22182-2641")</f>
        <v>8230 Leesburg Pike, Suite 800, Tysons Corner, VA 22182-2641</v>
      </c>
      <c r="E24" s="26" t="str">
        <f ca="1">IFERROR(__xludf.DUMMYFUNCTION("""COMPUTED_VALUE"""),"kfurlong@managementconcepts.com")</f>
        <v>kfurlong@managementconcepts.com</v>
      </c>
      <c r="F24" s="26" t="str">
        <f ca="1">IFERROR(__xludf.DUMMYFUNCTION("""COMPUTED_VALUE"""),"Kathy Furlong")</f>
        <v>Kathy Furlong</v>
      </c>
      <c r="G24" s="26" t="str">
        <f ca="1">IFERROR(__xludf.DUMMYFUNCTION("""COMPUTED_VALUE"""),"kfurlong@managementconcepts.com, ssimpson@managementconcepts.com")</f>
        <v>kfurlong@managementconcepts.com, ssimpson@managementconcepts.com</v>
      </c>
      <c r="H24" s="26" t="str">
        <f ca="1">IFERROR(__xludf.DUMMYFUNCTION("""COMPUTED_VALUE"""),"703-270-4172")</f>
        <v>703-270-4172</v>
      </c>
      <c r="I24" s="26" t="str">
        <f ca="1">IFERROR(__xludf.DUMMYFUNCTION("""COMPUTED_VALUE"""),"Rosanna Dombrowski")</f>
        <v>Rosanna Dombrowski</v>
      </c>
      <c r="J24" s="26" t="str">
        <f ca="1">IFERROR(__xludf.DUMMYFUNCTION("""COMPUTED_VALUE"""),"RDombrowski@ManagementConcepts.com")</f>
        <v>RDombrowski@ManagementConcepts.com</v>
      </c>
      <c r="K24" s="26" t="str">
        <f ca="1">IFERROR(__xludf.DUMMYFUNCTION("""COMPUTED_VALUE"""),"703-270-4043")</f>
        <v>703-270-4043</v>
      </c>
    </row>
    <row r="25" spans="1:11" ht="30" x14ac:dyDescent="0.25">
      <c r="A25" s="22" t="str">
        <f ca="1">IFERROR(__xludf.DUMMYFUNCTION("""COMPUTED_VALUE"""),"GS02Q16DCR0115")</f>
        <v>GS02Q16DCR0115</v>
      </c>
      <c r="B25" s="23" t="str">
        <f ca="1">IFERROR(__xludf.DUMMYFUNCTION("""COMPUTED_VALUE"""),"NTT DATA Federal Services, Inc")</f>
        <v>NTT DATA Federal Services, Inc</v>
      </c>
      <c r="C25" s="24" t="str">
        <f ca="1">IFERROR(__xludf.DUMMYFUNCTION("""COMPUTED_VALUE"""),"066781865")</f>
        <v>066781865</v>
      </c>
      <c r="D25" s="25" t="str">
        <f ca="1">IFERROR(__xludf.DUMMYFUNCTION("""COMPUTED_VALUE"""),"13880 Dulles Corner Lane Suite 200, Herndon, VA 20171")</f>
        <v>13880 Dulles Corner Lane Suite 200, Herndon, VA 20171</v>
      </c>
      <c r="E25" s="26" t="str">
        <f ca="1">IFERROR(__xludf.DUMMYFUNCTION("""COMPUTED_VALUE"""),"HCaTS.PM@nttdatafed.com")</f>
        <v>HCaTS.PM@nttdatafed.com</v>
      </c>
      <c r="F25" s="26" t="str">
        <f ca="1">IFERROR(__xludf.DUMMYFUNCTION("""COMPUTED_VALUE"""),"Heather Mori")</f>
        <v>Heather Mori</v>
      </c>
      <c r="G25" s="26" t="str">
        <f ca="1">IFERROR(__xludf.DUMMYFUNCTION("""COMPUTED_VALUE"""),"Heather.Mori@nttdatafed.com")</f>
        <v>Heather.Mori@nttdatafed.com</v>
      </c>
      <c r="H25" s="26" t="str">
        <f ca="1">IFERROR(__xludf.DUMMYFUNCTION("""COMPUTED_VALUE"""),"703-289-6873")</f>
        <v>703-289-6873</v>
      </c>
      <c r="I25" s="26" t="str">
        <f ca="1">IFERROR(__xludf.DUMMYFUNCTION("""COMPUTED_VALUE"""),"Demetria Wilson Covert")</f>
        <v>Demetria Wilson Covert</v>
      </c>
      <c r="J25" s="26" t="str">
        <f ca="1">IFERROR(__xludf.DUMMYFUNCTION("""COMPUTED_VALUE"""),"Demetria.Wilson@nttdatafed.com")</f>
        <v>Demetria.Wilson@nttdatafed.com</v>
      </c>
      <c r="K25" s="26" t="str">
        <f ca="1">IFERROR(__xludf.DUMMYFUNCTION("""COMPUTED_VALUE"""),"703-649-8236")</f>
        <v>703-649-8236</v>
      </c>
    </row>
    <row r="26" spans="1:11" ht="30" x14ac:dyDescent="0.25">
      <c r="A26" s="22" t="str">
        <f ca="1">IFERROR(__xludf.DUMMYFUNCTION("""COMPUTED_VALUE"""),"GS02Q16DCR0011")</f>
        <v>GS02Q16DCR0011</v>
      </c>
      <c r="B26" s="23" t="str">
        <f ca="1">IFERROR(__xludf.DUMMYFUNCTION("""COMPUTED_VALUE"""),"Panum Telecom, LLC")</f>
        <v>Panum Telecom, LLC</v>
      </c>
      <c r="C26" s="24" t="str">
        <f ca="1">IFERROR(__xludf.DUMMYFUNCTION("""COMPUTED_VALUE"""),"017433348")</f>
        <v>017433348</v>
      </c>
      <c r="D26" s="25" t="str">
        <f ca="1">IFERROR(__xludf.DUMMYFUNCTION("""COMPUTED_VALUE"""),"7315 Wisconsin Ave Ste 800 W, Bethesda, MD, 20814-3202")</f>
        <v>7315 Wisconsin Ave Ste 800 W, Bethesda, MD, 20814-3202</v>
      </c>
      <c r="E26" s="26" t="str">
        <f ca="1">IFERROR(__xludf.DUMMYFUNCTION("""COMPUTED_VALUE"""),"ppalmer@panum.com")</f>
        <v>ppalmer@panum.com</v>
      </c>
      <c r="F26" s="26" t="str">
        <f ca="1">IFERROR(__xludf.DUMMYFUNCTION("""COMPUTED_VALUE"""),"Suresh Gulati")</f>
        <v>Suresh Gulati</v>
      </c>
      <c r="G26" s="26" t="str">
        <f ca="1">IFERROR(__xludf.DUMMYFUNCTION("""COMPUTED_VALUE"""),"sgulati@aretum.com")</f>
        <v>sgulati@aretum.com</v>
      </c>
      <c r="H26" s="26" t="str">
        <f ca="1">IFERROR(__xludf.DUMMYFUNCTION("""COMPUTED_VALUE"""),"571-332-6782")</f>
        <v>571-332-6782</v>
      </c>
      <c r="I26" s="26" t="str">
        <f ca="1">IFERROR(__xludf.DUMMYFUNCTION("""COMPUTED_VALUE"""),"Kathie Johnson")</f>
        <v>Kathie Johnson</v>
      </c>
      <c r="J26" s="26" t="str">
        <f ca="1">IFERROR(__xludf.DUMMYFUNCTION("""COMPUTED_VALUE"""),"Kathie.johnson@aretum.com")</f>
        <v>Kathie.johnson@aretum.com</v>
      </c>
      <c r="K26" s="26" t="str">
        <f ca="1">IFERROR(__xludf.DUMMYFUNCTION("""COMPUTED_VALUE"""),"770-570-2633")</f>
        <v>770-570-2633</v>
      </c>
    </row>
    <row r="27" spans="1:11" ht="45" x14ac:dyDescent="0.25">
      <c r="A27" s="22" t="str">
        <f ca="1">IFERROR(__xludf.DUMMYFUNCTION("""COMPUTED_VALUE"""),"GS02Q16DCR0024")</f>
        <v>GS02Q16DCR0024</v>
      </c>
      <c r="B27" s="23" t="str">
        <f ca="1">IFERROR(__xludf.DUMMYFUNCTION("""COMPUTED_VALUE"""),"Personnel Decisions Research Institutes, LLC (PDRI)")</f>
        <v>Personnel Decisions Research Institutes, LLC (PDRI)</v>
      </c>
      <c r="C27" s="24" t="str">
        <f ca="1">IFERROR(__xludf.DUMMYFUNCTION("""COMPUTED_VALUE"""),"037335296")</f>
        <v>037335296</v>
      </c>
      <c r="D27" s="25" t="str">
        <f ca="1">IFERROR(__xludf.DUMMYFUNCTION("""COMPUTED_VALUE"""),"111 Washington Avenue South, Suite 600
Minneapolis, MN, 55401-2399")</f>
        <v>111 Washington Avenue South, Suite 600
Minneapolis, MN, 55401-2399</v>
      </c>
      <c r="E27" s="26" t="str">
        <f ca="1">IFERROR(__xludf.DUMMYFUNCTION("""COMPUTED_VALUE"""),"gary.carter@pdri.com")</f>
        <v>gary.carter@pdri.com</v>
      </c>
      <c r="F27" s="26" t="str">
        <f ca="1">IFERROR(__xludf.DUMMYFUNCTION("""COMPUTED_VALUE"""),"Ryan S. O'Leary")</f>
        <v>Ryan S. O'Leary</v>
      </c>
      <c r="G27" s="26" t="str">
        <f ca="1">IFERROR(__xludf.DUMMYFUNCTION("""COMPUTED_VALUE"""),"ryan.oleary@pdri.com")</f>
        <v>ryan.oleary@pdri.com</v>
      </c>
      <c r="H27" s="26" t="str">
        <f ca="1">IFERROR(__xludf.DUMMYFUNCTION("""COMPUTED_VALUE"""),"202-321-1204")</f>
        <v>202-321-1204</v>
      </c>
      <c r="I27" s="26"/>
      <c r="J27" s="26"/>
      <c r="K27" s="26"/>
    </row>
    <row r="28" spans="1:11" ht="30" x14ac:dyDescent="0.25">
      <c r="A28" s="22" t="str">
        <f ca="1">IFERROR(__xludf.DUMMYFUNCTION("""COMPUTED_VALUE"""),"GS02Q16DCR0025")</f>
        <v>GS02Q16DCR0025</v>
      </c>
      <c r="B28" s="23" t="str">
        <f ca="1">IFERROR(__xludf.DUMMYFUNCTION("""COMPUTED_VALUE"""),"Piton Science &amp; Technology LLC")</f>
        <v>Piton Science &amp; Technology LLC</v>
      </c>
      <c r="C28" s="24" t="str">
        <f ca="1">IFERROR(__xludf.DUMMYFUNCTION("""COMPUTED_VALUE"""),"786931050")</f>
        <v>786931050</v>
      </c>
      <c r="D28" s="25" t="str">
        <f ca="1">IFERROR(__xludf.DUMMYFUNCTION("""COMPUTED_VALUE"""),"2696 Linda Marie Drive, Oakton, VA 22124-1111")</f>
        <v>2696 Linda Marie Drive, Oakton, VA 22124-1111</v>
      </c>
      <c r="E28" s="26" t="str">
        <f ca="1">IFERROR(__xludf.DUMMYFUNCTION("""COMPUTED_VALUE"""),"UHCATS@pitonscience.com")</f>
        <v>UHCATS@pitonscience.com</v>
      </c>
      <c r="F28" s="26" t="str">
        <f ca="1">IFERROR(__xludf.DUMMYFUNCTION("""COMPUTED_VALUE"""),"William S. Murphy Jr.")</f>
        <v>William S. Murphy Jr.</v>
      </c>
      <c r="G28" s="26" t="str">
        <f ca="1">IFERROR(__xludf.DUMMYFUNCTION("""COMPUTED_VALUE"""),"murphyw@pitonscience.com")</f>
        <v>murphyw@pitonscience.com</v>
      </c>
      <c r="H28" s="26" t="str">
        <f ca="1">IFERROR(__xludf.DUMMYFUNCTION("""COMPUTED_VALUE"""),"703-349-3879")</f>
        <v>703-349-3879</v>
      </c>
      <c r="I28" s="26" t="str">
        <f ca="1">IFERROR(__xludf.DUMMYFUNCTION("""COMPUTED_VALUE"""),"Charles Pate")</f>
        <v>Charles Pate</v>
      </c>
      <c r="J28" s="26" t="str">
        <f ca="1">IFERROR(__xludf.DUMMYFUNCTION("""COMPUTED_VALUE"""),"patec@pitonscience.com")</f>
        <v>patec@pitonscience.com</v>
      </c>
      <c r="K28" s="26" t="str">
        <f ca="1">IFERROR(__xludf.DUMMYFUNCTION("""COMPUTED_VALUE"""),"703-309-6922")</f>
        <v>703-309-6922</v>
      </c>
    </row>
    <row r="29" spans="1:11" ht="30" x14ac:dyDescent="0.25">
      <c r="A29" s="22" t="str">
        <f ca="1">IFERROR(__xludf.DUMMYFUNCTION("""COMPUTED_VALUE"""),"GS02Q16DCR0026")</f>
        <v>GS02Q16DCR0026</v>
      </c>
      <c r="B29" s="23" t="str">
        <f ca="1">IFERROR(__xludf.DUMMYFUNCTION("""COMPUTED_VALUE"""),"PowerTrain, Inc")</f>
        <v>PowerTrain, Inc</v>
      </c>
      <c r="C29" s="24" t="str">
        <f ca="1">IFERROR(__xludf.DUMMYFUNCTION("""COMPUTED_VALUE"""),"837788223")</f>
        <v>837788223</v>
      </c>
      <c r="D29" s="25" t="str">
        <f ca="1">IFERROR(__xludf.DUMMYFUNCTION("""COMPUTED_VALUE"""),"8201 Corporate Drive, Suite 580, Landover MD 20785-2230")</f>
        <v>8201 Corporate Drive, Suite 580, Landover MD 20785-2230</v>
      </c>
      <c r="E29" s="26" t="str">
        <f ca="1">IFERROR(__xludf.DUMMYFUNCTION("""COMPUTED_VALUE"""),"hcats@powertrain.com")</f>
        <v>hcats@powertrain.com</v>
      </c>
      <c r="F29" s="26" t="str">
        <f ca="1">IFERROR(__xludf.DUMMYFUNCTION("""COMPUTED_VALUE"""),"Cathy Frederick-Bittner")</f>
        <v>Cathy Frederick-Bittner</v>
      </c>
      <c r="G29" s="26" t="str">
        <f ca="1">IFERROR(__xludf.DUMMYFUNCTION("""COMPUTED_VALUE"""),"cfrederick-bittner@powertrain.com")</f>
        <v>cfrederick-bittner@powertrain.com</v>
      </c>
      <c r="H29" s="26" t="str">
        <f ca="1">IFERROR(__xludf.DUMMYFUNCTION("""COMPUTED_VALUE"""),"443-745-5877")</f>
        <v>443-745-5877</v>
      </c>
      <c r="I29" s="26" t="str">
        <f ca="1">IFERROR(__xludf.DUMMYFUNCTION("""COMPUTED_VALUE"""),"Lisa Cox")</f>
        <v>Lisa Cox</v>
      </c>
      <c r="J29" s="26" t="str">
        <f ca="1">IFERROR(__xludf.DUMMYFUNCTION("""COMPUTED_VALUE"""),"lisa.cox@powertrain.com")</f>
        <v>lisa.cox@powertrain.com</v>
      </c>
      <c r="K29" s="26" t="str">
        <f ca="1">IFERROR(__xludf.DUMMYFUNCTION("""COMPUTED_VALUE"""),"443-995-1128")</f>
        <v>443-995-1128</v>
      </c>
    </row>
    <row r="30" spans="1:11" ht="30" x14ac:dyDescent="0.25">
      <c r="A30" s="22" t="str">
        <f ca="1">IFERROR(__xludf.DUMMYFUNCTION("""COMPUTED_VALUE"""),"47QREB22D0010")</f>
        <v>47QREB22D0010</v>
      </c>
      <c r="B30" s="23" t="str">
        <f ca="1">IFERROR(__xludf.DUMMYFUNCTION("""COMPUTED_VALUE"""),"Rigil Corporation")</f>
        <v>Rigil Corporation</v>
      </c>
      <c r="C30" s="24" t="str">
        <f ca="1">IFERROR(__xludf.DUMMYFUNCTION("""COMPUTED_VALUE"""),"786713599")</f>
        <v>786713599</v>
      </c>
      <c r="D30" s="25" t="str">
        <f ca="1">IFERROR(__xludf.DUMMYFUNCTION("""COMPUTED_VALUE"""),"4800 Westfields Blvd, Suite 120, Chantilly, VA 20151")</f>
        <v>4800 Westfields Blvd, Suite 120, Chantilly, VA 20151</v>
      </c>
      <c r="E30" s="26" t="str">
        <f ca="1">IFERROR(__xludf.DUMMYFUNCTION("""COMPUTED_VALUE"""),"hcats@rigil.com")</f>
        <v>hcats@rigil.com</v>
      </c>
      <c r="F30" s="26" t="str">
        <f ca="1">IFERROR(__xludf.DUMMYFUNCTION("""COMPUTED_VALUE"""),"Pankaj Sharma")</f>
        <v>Pankaj Sharma</v>
      </c>
      <c r="G30" s="26" t="str">
        <f ca="1">IFERROR(__xludf.DUMMYFUNCTION("""COMPUTED_VALUE"""),"pankaj@rigil.com")</f>
        <v>pankaj@rigil.com</v>
      </c>
      <c r="H30" s="26" t="str">
        <f ca="1">IFERROR(__xludf.DUMMYFUNCTION("""COMPUTED_VALUE"""),"571-216-8682")</f>
        <v>571-216-8682</v>
      </c>
      <c r="I30" s="26" t="str">
        <f ca="1">IFERROR(__xludf.DUMMYFUNCTION("""COMPUTED_VALUE"""),"Sonia Sharma")</f>
        <v>Sonia Sharma</v>
      </c>
      <c r="J30" s="26" t="str">
        <f ca="1">IFERROR(__xludf.DUMMYFUNCTION("""COMPUTED_VALUE"""),"sonia@rigil.com")</f>
        <v>sonia@rigil.com</v>
      </c>
      <c r="K30" s="26" t="str">
        <f ca="1">IFERROR(__xludf.DUMMYFUNCTION("""COMPUTED_VALUE"""),"571-418-9032")</f>
        <v>571-418-9032</v>
      </c>
    </row>
    <row r="31" spans="1:11" ht="30" x14ac:dyDescent="0.25">
      <c r="A31" s="22" t="str">
        <f ca="1">IFERROR(__xludf.DUMMYFUNCTION("""COMPUTED_VALUE"""),"GS02Q16DCR0028")</f>
        <v>GS02Q16DCR0028</v>
      </c>
      <c r="B31" s="23" t="str">
        <f ca="1">IFERROR(__xludf.DUMMYFUNCTION("""COMPUTED_VALUE"""),"Science Applications International Corporation (SAIC)")</f>
        <v>Science Applications International Corporation (SAIC)</v>
      </c>
      <c r="C31" s="24" t="str">
        <f ca="1">IFERROR(__xludf.DUMMYFUNCTION("""COMPUTED_VALUE"""),"078883327")</f>
        <v>078883327</v>
      </c>
      <c r="D31" s="25" t="str">
        <f ca="1">IFERROR(__xludf.DUMMYFUNCTION("""COMPUTED_VALUE"""),"12010 Sunset Hills Road, Reston, VA 20190-5856")</f>
        <v>12010 Sunset Hills Road, Reston, VA 20190-5856</v>
      </c>
      <c r="E31" s="26" t="str">
        <f ca="1">IFERROR(__xludf.DUMMYFUNCTION("""COMPUTED_VALUE"""),"HCaTS@saic.com")</f>
        <v>HCaTS@saic.com</v>
      </c>
      <c r="F31" s="26" t="str">
        <f ca="1">IFERROR(__xludf.DUMMYFUNCTION("""COMPUTED_VALUE"""),"Sarah Rootes")</f>
        <v>Sarah Rootes</v>
      </c>
      <c r="G31" s="26" t="str">
        <f ca="1">IFERROR(__xludf.DUMMYFUNCTION("""COMPUTED_VALUE"""),"Sarah Rootes.")</f>
        <v>Sarah Rootes.</v>
      </c>
      <c r="H31" s="26" t="str">
        <f ca="1">IFERROR(__xludf.DUMMYFUNCTION("""COMPUTED_VALUE"""),"703-676-7988.")</f>
        <v>703-676-7988.</v>
      </c>
      <c r="I31" s="26" t="str">
        <f ca="1">IFERROR(__xludf.DUMMYFUNCTION("""COMPUTED_VALUE"""),"Timothy E. Bodnar, Jr.")</f>
        <v>Timothy E. Bodnar, Jr.</v>
      </c>
      <c r="J31" s="26" t="str">
        <f ca="1">IFERROR(__xludf.DUMMYFUNCTION("""COMPUTED_VALUE"""),"timothy.e.bodnar.jr@saic.com")</f>
        <v>timothy.e.bodnar.jr@saic.com</v>
      </c>
      <c r="K31" s="26" t="str">
        <f ca="1">IFERROR(__xludf.DUMMYFUNCTION("""COMPUTED_VALUE"""),"301-401-3440")</f>
        <v>301-401-3440</v>
      </c>
    </row>
    <row r="32" spans="1:11" ht="30" x14ac:dyDescent="0.25">
      <c r="A32" s="22" t="str">
        <f ca="1">IFERROR(__xludf.DUMMYFUNCTION("""COMPUTED_VALUE"""),"GS02Q16DCR0029")</f>
        <v>GS02Q16DCR0029</v>
      </c>
      <c r="B32" s="23" t="str">
        <f ca="1">IFERROR(__xludf.DUMMYFUNCTION("""COMPUTED_VALUE"""),"Serco Inc")</f>
        <v>Serco Inc</v>
      </c>
      <c r="C32" s="24" t="str">
        <f ca="1">IFERROR(__xludf.DUMMYFUNCTION("""COMPUTED_VALUE"""),"928859149")</f>
        <v>928859149</v>
      </c>
      <c r="D32" s="25" t="str">
        <f ca="1">IFERROR(__xludf.DUMMYFUNCTION("""COMPUTED_VALUE"""),"12930 Worldgate Drive, Suite 600, Herndon, Virginia 20170")</f>
        <v>12930 Worldgate Drive, Suite 600, Herndon, Virginia 20170</v>
      </c>
      <c r="E32" s="26" t="str">
        <f ca="1">IFERROR(__xludf.DUMMYFUNCTION("""COMPUTED_VALUE"""),"HCATS@SERCO-NA.COM")</f>
        <v>HCATS@SERCO-NA.COM</v>
      </c>
      <c r="F32" s="26" t="str">
        <f ca="1">IFERROR(__xludf.DUMMYFUNCTION("""COMPUTED_VALUE"""),"Diana Platt")</f>
        <v>Diana Platt</v>
      </c>
      <c r="G32" s="26" t="str">
        <f ca="1">IFERROR(__xludf.DUMMYFUNCTION("""COMPUTED_VALUE"""),"Diana.Platt@Serco-na.com")</f>
        <v>Diana.Platt@Serco-na.com</v>
      </c>
      <c r="H32" s="26" t="str">
        <f ca="1">IFERROR(__xludf.DUMMYFUNCTION("""COMPUTED_VALUE"""),"703-263-6146")</f>
        <v>703-263-6146</v>
      </c>
      <c r="I32" s="26" t="str">
        <f ca="1">IFERROR(__xludf.DUMMYFUNCTION("""COMPUTED_VALUE"""),"Sharon Tran")</f>
        <v>Sharon Tran</v>
      </c>
      <c r="J32" s="26" t="str">
        <f ca="1">IFERROR(__xludf.DUMMYFUNCTION("""COMPUTED_VALUE"""),"Sharon.Tran@serco-na.com")</f>
        <v>Sharon.Tran@serco-na.com</v>
      </c>
      <c r="K32" s="26" t="str">
        <f ca="1">IFERROR(__xludf.DUMMYFUNCTION("""COMPUTED_VALUE"""),"703-263-6528")</f>
        <v>703-263-6528</v>
      </c>
    </row>
    <row r="33" spans="1:11" ht="30" x14ac:dyDescent="0.25">
      <c r="A33" s="22" t="str">
        <f ca="1">IFERROR(__xludf.DUMMYFUNCTION("""COMPUTED_VALUE"""),"GS02Q16DCR0030")</f>
        <v>GS02Q16DCR0030</v>
      </c>
      <c r="B33" s="23" t="str">
        <f ca="1">IFERROR(__xludf.DUMMYFUNCTION("""COMPUTED_VALUE"""),"Sigmatech, Inc")</f>
        <v>Sigmatech, Inc</v>
      </c>
      <c r="C33" s="24" t="str">
        <f ca="1">IFERROR(__xludf.DUMMYFUNCTION("""COMPUTED_VALUE"""),"193460839")</f>
        <v>193460839</v>
      </c>
      <c r="D33" s="25" t="str">
        <f ca="1">IFERROR(__xludf.DUMMYFUNCTION("""COMPUTED_VALUE"""),"631 Discovery Dr NW
Huntsville, AL 35806-2801")</f>
        <v>631 Discovery Dr NW
Huntsville, AL 35806-2801</v>
      </c>
      <c r="E33" s="26" t="str">
        <f ca="1">IFERROR(__xludf.DUMMYFUNCTION("""COMPUTED_VALUE"""),"brian.simmons@sigmatech.com")</f>
        <v>brian.simmons@sigmatech.com</v>
      </c>
      <c r="F33" s="26" t="str">
        <f ca="1">IFERROR(__xludf.DUMMYFUNCTION("""COMPUTED_VALUE"""),"Dave Deist  ")</f>
        <v xml:space="preserve">Dave Deist  </v>
      </c>
      <c r="G33" s="26" t="str">
        <f ca="1">IFERROR(__xludf.DUMMYFUNCTION("""COMPUTED_VALUE"""),"dave.deist@sigmatech.com ")</f>
        <v xml:space="preserve">dave.deist@sigmatech.com </v>
      </c>
      <c r="H33" s="26" t="str">
        <f ca="1">IFERROR(__xludf.DUMMYFUNCTION("""COMPUTED_VALUE"""),"719-556-3918")</f>
        <v>719-556-3918</v>
      </c>
      <c r="I33" s="26" t="str">
        <f ca="1">IFERROR(__xludf.DUMMYFUNCTION("""COMPUTED_VALUE"""),"Lisa Willett")</f>
        <v>Lisa Willett</v>
      </c>
      <c r="J33" s="26" t="str">
        <f ca="1">IFERROR(__xludf.DUMMYFUNCTION("""COMPUTED_VALUE"""),"Lisa.Willett@sigmatech.com")</f>
        <v>Lisa.Willett@sigmatech.com</v>
      </c>
      <c r="K33" s="26" t="str">
        <f ca="1">IFERROR(__xludf.DUMMYFUNCTION("""COMPUTED_VALUE"""),"256-319-9212 ")</f>
        <v xml:space="preserve">256-319-9212 </v>
      </c>
    </row>
    <row r="34" spans="1:11" ht="30" x14ac:dyDescent="0.25">
      <c r="A34" s="22" t="str">
        <f ca="1">IFERROR(__xludf.DUMMYFUNCTION("""COMPUTED_VALUE"""),"GS02Q16DCR0031")</f>
        <v>GS02Q16DCR0031</v>
      </c>
      <c r="B34" s="23" t="str">
        <f ca="1">IFERROR(__xludf.DUMMYFUNCTION("""COMPUTED_VALUE"""),"SRA International, Inc")</f>
        <v>SRA International, Inc</v>
      </c>
      <c r="C34" s="24" t="str">
        <f ca="1">IFERROR(__xludf.DUMMYFUNCTION("""COMPUTED_VALUE"""),"097779698")</f>
        <v>097779698</v>
      </c>
      <c r="D34" s="25" t="str">
        <f ca="1">IFERROR(__xludf.DUMMYFUNCTION("""COMPUTED_VALUE"""),"15036 Conference Center Drive, Chantilly, VA 20151")</f>
        <v>15036 Conference Center Drive, Chantilly, VA 20151</v>
      </c>
      <c r="E34" s="26" t="str">
        <f ca="1">IFERROR(__xludf.DUMMYFUNCTION("""COMPUTED_VALUE"""),"HCATS@csra.com")</f>
        <v>HCATS@csra.com</v>
      </c>
      <c r="F34" s="26" t="str">
        <f ca="1">IFERROR(__xludf.DUMMYFUNCTION("""COMPUTED_VALUE"""),"Karen Popular-Lawhorn")</f>
        <v>Karen Popular-Lawhorn</v>
      </c>
      <c r="G34" s="26" t="str">
        <f ca="1">IFERROR(__xludf.DUMMYFUNCTION("""COMPUTED_VALUE"""),"karen.popular-lawhorn@csra.com")</f>
        <v>karen.popular-lawhorn@csra.com</v>
      </c>
      <c r="H34" s="26" t="str">
        <f ca="1">IFERROR(__xludf.DUMMYFUNCTION("""COMPUTED_VALUE"""),"703-284-6969")</f>
        <v>703-284-6969</v>
      </c>
      <c r="I34" s="26" t="str">
        <f ca="1">IFERROR(__xludf.DUMMYFUNCTION("""COMPUTED_VALUE"""),"Susan Wease")</f>
        <v>Susan Wease</v>
      </c>
      <c r="J34" s="26" t="str">
        <f ca="1">IFERROR(__xludf.DUMMYFUNCTION("""COMPUTED_VALUE"""),"Susan.Wease@gdit.com")</f>
        <v>Susan.Wease@gdit.com</v>
      </c>
      <c r="K34" s="26" t="str">
        <f ca="1">IFERROR(__xludf.DUMMYFUNCTION("""COMPUTED_VALUE"""),"318-642-6446")</f>
        <v>318-642-6446</v>
      </c>
    </row>
    <row r="35" spans="1:11" ht="45" x14ac:dyDescent="0.25">
      <c r="A35" s="22" t="str">
        <f ca="1">IFERROR(__xludf.DUMMYFUNCTION("""COMPUTED_VALUE"""),"GS02Q16DCR0010")</f>
        <v>GS02Q16DCR0010</v>
      </c>
      <c r="B35" s="23" t="str">
        <f ca="1">IFERROR(__xludf.DUMMYFUNCTION("""COMPUTED_VALUE"""),"Team Carney, Inc")</f>
        <v>Team Carney, Inc</v>
      </c>
      <c r="C35" s="24" t="str">
        <f ca="1">IFERROR(__xludf.DUMMYFUNCTION("""COMPUTED_VALUE"""),"869205930")</f>
        <v>869205930</v>
      </c>
      <c r="D35" s="25" t="str">
        <f ca="1">IFERROR(__xludf.DUMMYFUNCTION("""COMPUTED_VALUE"""),"7621 Admiral Dr.
Alexandria, VA 22308-1071
")</f>
        <v xml:space="preserve">7621 Admiral Dr.
Alexandria, VA 22308-1071
</v>
      </c>
      <c r="E35" s="26" t="str">
        <f ca="1">IFERROR(__xludf.DUMMYFUNCTION("""COMPUTED_VALUE"""),"hcats@teamcarney.com")</f>
        <v>hcats@teamcarney.com</v>
      </c>
      <c r="F35" s="26" t="str">
        <f ca="1">IFERROR(__xludf.DUMMYFUNCTION("""COMPUTED_VALUE"""),"David Morris")</f>
        <v>David Morris</v>
      </c>
      <c r="G35" s="26" t="str">
        <f ca="1">IFERROR(__xludf.DUMMYFUNCTION("""COMPUTED_VALUE"""),"david.morris@teamcarney.com")</f>
        <v>david.morris@teamcarney.com</v>
      </c>
      <c r="H35" s="26" t="str">
        <f ca="1">IFERROR(__xludf.DUMMYFUNCTION("""COMPUTED_VALUE"""),"(703) 956-5116")</f>
        <v>(703) 956-5116</v>
      </c>
      <c r="I35" s="26" t="str">
        <f ca="1">IFERROR(__xludf.DUMMYFUNCTION("""COMPUTED_VALUE"""),"Allen Price")</f>
        <v>Allen Price</v>
      </c>
      <c r="J35" s="26" t="str">
        <f ca="1">IFERROR(__xludf.DUMMYFUNCTION("""COMPUTED_VALUE"""),"allen.price@teamcarney.com")</f>
        <v>allen.price@teamcarney.com</v>
      </c>
      <c r="K35" s="26" t="str">
        <f ca="1">IFERROR(__xludf.DUMMYFUNCTION("""COMPUTED_VALUE"""),"(703) 203-5440")</f>
        <v>(703) 203-5440</v>
      </c>
    </row>
    <row r="36" spans="1:11" ht="30" x14ac:dyDescent="0.25">
      <c r="A36" s="22" t="str">
        <f ca="1">IFERROR(__xludf.DUMMYFUNCTION("""COMPUTED_VALUE"""),"GS02Q16DCR0033")</f>
        <v>GS02Q16DCR0033</v>
      </c>
      <c r="B36" s="23" t="str">
        <f ca="1">IFERROR(__xludf.DUMMYFUNCTION("""COMPUTED_VALUE"""),"The North Highland Company, LLC")</f>
        <v>The North Highland Company, LLC</v>
      </c>
      <c r="C36" s="24" t="str">
        <f ca="1">IFERROR(__xludf.DUMMYFUNCTION("""COMPUTED_VALUE"""),"804665990")</f>
        <v>804665990</v>
      </c>
      <c r="D36" s="25" t="str">
        <f ca="1">IFERROR(__xludf.DUMMYFUNCTION("""COMPUTED_VALUE"""),"3333 Piedmont Road NE Suite 1000 Atlanta, GA 30305")</f>
        <v>3333 Piedmont Road NE Suite 1000 Atlanta, GA 30305</v>
      </c>
      <c r="E36" s="26" t="str">
        <f ca="1">IFERROR(__xludf.DUMMYFUNCTION("""COMPUTED_VALUE"""),"HCaTS@northhighland.com")</f>
        <v>HCaTS@northhighland.com</v>
      </c>
      <c r="F36" s="26" t="str">
        <f ca="1">IFERROR(__xludf.DUMMYFUNCTION("""COMPUTED_VALUE"""),"Emily Schulman")</f>
        <v>Emily Schulman</v>
      </c>
      <c r="G36" s="26" t="str">
        <f ca="1">IFERROR(__xludf.DUMMYFUNCTION("""COMPUTED_VALUE"""),"emily.schulman@northhighland.com")</f>
        <v>emily.schulman@northhighland.com</v>
      </c>
      <c r="H36" s="26" t="str">
        <f ca="1">IFERROR(__xludf.DUMMYFUNCTION("""COMPUTED_VALUE"""),"914-262-6981")</f>
        <v>914-262-6981</v>
      </c>
      <c r="I36" s="26" t="str">
        <f ca="1">IFERROR(__xludf.DUMMYFUNCTION("""COMPUTED_VALUE"""),"Chris McCarthy")</f>
        <v>Chris McCarthy</v>
      </c>
      <c r="J36" s="26" t="str">
        <f ca="1">IFERROR(__xludf.DUMMYFUNCTION("""COMPUTED_VALUE"""),"Chris.McCarthy@northhighland.com")</f>
        <v>Chris.McCarthy@northhighland.com</v>
      </c>
      <c r="K36" s="26"/>
    </row>
    <row r="37" spans="1:11" ht="45" x14ac:dyDescent="0.25">
      <c r="A37" s="22" t="str">
        <f ca="1">IFERROR(__xludf.DUMMYFUNCTION("""COMPUTED_VALUE"""),"GS02Q16DCR0012")</f>
        <v>GS02Q16DCR0012</v>
      </c>
      <c r="B37" s="23" t="str">
        <f ca="1">IFERROR(__xludf.DUMMYFUNCTION("""COMPUTED_VALUE"""),"Valiant Global Defense Services, Inc")</f>
        <v>Valiant Global Defense Services, Inc</v>
      </c>
      <c r="C37" s="24" t="str">
        <f ca="1">IFERROR(__xludf.DUMMYFUNCTION("""COMPUTED_VALUE"""),"802316315")</f>
        <v>802316315</v>
      </c>
      <c r="D37" s="25" t="str">
        <f ca="1">IFERROR(__xludf.DUMMYFUNCTION("""COMPUTED_VALUE"""),"2355 Dulles Corner Blvd Ste 200
         Herndon, VA 20171-6127
")</f>
        <v xml:space="preserve">2355 Dulles Corner Blvd Ste 200
         Herndon, VA 20171-6127
</v>
      </c>
      <c r="E37" s="26" t="str">
        <f ca="1">IFERROR(__xludf.DUMMYFUNCTION("""COMPUTED_VALUE"""),"HCaTS@valiantintegrated.com")</f>
        <v>HCaTS@valiantintegrated.com</v>
      </c>
      <c r="F37" s="26" t="str">
        <f ca="1">IFERROR(__xludf.DUMMYFUNCTION("""COMPUTED_VALUE"""),"Scott Anderson")</f>
        <v>Scott Anderson</v>
      </c>
      <c r="G37" s="26" t="str">
        <f ca="1">IFERROR(__xludf.DUMMYFUNCTION("""COMPUTED_VALUE"""),"Scott.Anderson@onevaliant.com")</f>
        <v>Scott.Anderson@onevaliant.com</v>
      </c>
      <c r="H37" s="26" t="str">
        <f ca="1">IFERROR(__xludf.DUMMYFUNCTION("""COMPUTED_VALUE"""),"(703) 472-5106")</f>
        <v>(703) 472-5106</v>
      </c>
      <c r="I37" s="26" t="str">
        <f ca="1">IFERROR(__xludf.DUMMYFUNCTION("""COMPUTED_VALUE"""),"Jason Booth")</f>
        <v>Jason Booth</v>
      </c>
      <c r="J37" s="26" t="str">
        <f ca="1">IFERROR(__xludf.DUMMYFUNCTION("""COMPUTED_VALUE"""),"jason.booth@onevaliant.com")</f>
        <v>jason.booth@onevaliant.com</v>
      </c>
      <c r="K37" s="26" t="str">
        <f ca="1">IFERROR(__xludf.DUMMYFUNCTION("""COMPUTED_VALUE"""),"(757) 350-6138")</f>
        <v>(757) 350-6138</v>
      </c>
    </row>
    <row r="38" spans="1:11" x14ac:dyDescent="0.25">
      <c r="A38" s="22"/>
      <c r="B38" s="23"/>
      <c r="C38" s="24"/>
      <c r="D38" s="25"/>
      <c r="E38" s="26"/>
      <c r="F38" s="26"/>
      <c r="G38" s="26"/>
      <c r="H38" s="26"/>
      <c r="I38" s="26"/>
      <c r="J38" s="26"/>
      <c r="K38" s="26"/>
    </row>
    <row r="39" spans="1:11" x14ac:dyDescent="0.25">
      <c r="A39" s="22"/>
      <c r="B39" s="23"/>
      <c r="C39" s="24"/>
      <c r="D39" s="25"/>
      <c r="E39" s="26"/>
      <c r="F39" s="26"/>
      <c r="G39" s="26"/>
      <c r="H39" s="26"/>
      <c r="I39" s="26"/>
      <c r="J39" s="26"/>
      <c r="K39" s="26"/>
    </row>
    <row r="40" spans="1:11" x14ac:dyDescent="0.25">
      <c r="A40" s="22"/>
      <c r="B40" s="23"/>
      <c r="C40" s="24"/>
      <c r="D40" s="25"/>
      <c r="E40" s="26"/>
      <c r="F40" s="26"/>
      <c r="G40" s="26"/>
      <c r="H40" s="26"/>
      <c r="I40" s="26"/>
      <c r="J40" s="26"/>
      <c r="K40" s="26"/>
    </row>
  </sheetData>
  <pageMargins left="0.2" right="0.2" top="0.2" bottom="0.2" header="0" footer="0"/>
  <pageSetup orientation="landscape"/>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C09"/>
  </sheetPr>
  <dimension ref="A1:K55"/>
  <sheetViews>
    <sheetView workbookViewId="0">
      <pane xSplit="2" ySplit="2" topLeftCell="C38" activePane="bottomRight" state="frozen"/>
      <selection pane="topRight" activeCell="C1" sqref="C1"/>
      <selection pane="bottomLeft" activeCell="A3" sqref="A3"/>
      <selection pane="bottomRight" activeCell="D33" sqref="D33"/>
    </sheetView>
  </sheetViews>
  <sheetFormatPr defaultColWidth="11.25" defaultRowHeight="15.75" x14ac:dyDescent="0.25"/>
  <cols>
    <col min="1" max="1" width="15.75" customWidth="1"/>
    <col min="2" max="2" width="30.75" customWidth="1"/>
    <col min="3" max="3" width="10.875" customWidth="1"/>
    <col min="4" max="4" width="27.875" customWidth="1"/>
    <col min="5" max="5" width="25.75" customWidth="1"/>
    <col min="6" max="6" width="16.25" customWidth="1"/>
    <col min="7" max="7" width="52.125" customWidth="1"/>
    <col min="8" max="8" width="15.375" customWidth="1"/>
    <col min="9" max="9" width="15.625" customWidth="1"/>
    <col min="10" max="10" width="41.75" customWidth="1"/>
    <col min="11" max="11" width="13.75" customWidth="1"/>
  </cols>
  <sheetData>
    <row r="1" spans="1:11" ht="26.25" x14ac:dyDescent="0.25">
      <c r="A1" s="11" t="s">
        <v>27</v>
      </c>
      <c r="B1" s="27"/>
      <c r="C1" s="28"/>
      <c r="D1" s="29"/>
      <c r="E1" s="30"/>
      <c r="F1" s="31"/>
      <c r="G1" s="31"/>
      <c r="H1" s="32"/>
      <c r="I1" s="31"/>
      <c r="J1" s="31"/>
      <c r="K1" s="33"/>
    </row>
    <row r="2" spans="1:11" ht="47.25" x14ac:dyDescent="0.25">
      <c r="A2" s="18" t="s">
        <v>28</v>
      </c>
      <c r="B2" s="19" t="s">
        <v>17</v>
      </c>
      <c r="C2" s="20" t="s">
        <v>18</v>
      </c>
      <c r="D2" s="34" t="s">
        <v>19</v>
      </c>
      <c r="E2" s="19" t="s">
        <v>20</v>
      </c>
      <c r="F2" s="19" t="s">
        <v>21</v>
      </c>
      <c r="G2" s="20" t="s">
        <v>22</v>
      </c>
      <c r="H2" s="20" t="s">
        <v>23</v>
      </c>
      <c r="I2" s="20" t="s">
        <v>24</v>
      </c>
      <c r="J2" s="20" t="s">
        <v>25</v>
      </c>
      <c r="K2" s="21" t="s">
        <v>26</v>
      </c>
    </row>
    <row r="3" spans="1:11" ht="30" x14ac:dyDescent="0.25">
      <c r="A3" s="22" t="str">
        <f ca="1">IFERROR(__xludf.DUMMYFUNCTION("Query(importrange(""https://docs.google.com/spreadsheets/d/1t10Foe1vTEZyMDsOA_q-Q29vy-Kz9U_eP3ItSEmmPak/edit#gid=525286931"",""HCaTS Master Contracts info!A2:X137""),""SELECT Col12, Col13, Col15, Col17, Col14,Col18, Col19, Col20, Col21, Col22, Col23 where"&amp;" Col12 is not null order by Col13"",0)"),"GS02Q16DCR0034")</f>
        <v>GS02Q16DCR0034</v>
      </c>
      <c r="B3" s="23" t="str">
        <f ca="1">IFERROR(__xludf.DUMMYFUNCTION("""COMPUTED_VALUE"""),"Accenture Federal Services LLC")</f>
        <v>Accenture Federal Services LLC</v>
      </c>
      <c r="C3" s="24" t="str">
        <f ca="1">IFERROR(__xludf.DUMMYFUNCTION("""COMPUTED_VALUE"""),"139727148")</f>
        <v>139727148</v>
      </c>
      <c r="D3" s="35" t="str">
        <f ca="1">IFERROR(__xludf.DUMMYFUNCTION("""COMPUTED_VALUE"""),"800 North Glebe Road, Suite 300, Arlington, VA 22203-2151")</f>
        <v>800 North Glebe Road, Suite 300, Arlington, VA 22203-2151</v>
      </c>
      <c r="E3" s="26" t="str">
        <f ca="1">IFERROR(__xludf.DUMMYFUNCTION("""COMPUTED_VALUE"""),"hcats@accenturefederal.com")</f>
        <v>hcats@accenturefederal.com</v>
      </c>
      <c r="F3" s="26" t="str">
        <f ca="1">IFERROR(__xludf.DUMMYFUNCTION("""COMPUTED_VALUE"""),"Sandi LaCroix")</f>
        <v>Sandi LaCroix</v>
      </c>
      <c r="G3" s="26" t="str">
        <f ca="1">IFERROR(__xludf.DUMMYFUNCTION("""COMPUTED_VALUE"""),"sandi.lacroix@accenturefederal.com")</f>
        <v>sandi.lacroix@accenturefederal.com</v>
      </c>
      <c r="H3" s="26" t="str">
        <f ca="1">IFERROR(__xludf.DUMMYFUNCTION("""COMPUTED_VALUE"""),"571-414-3350")</f>
        <v>571-414-3350</v>
      </c>
      <c r="I3" s="26" t="str">
        <f ca="1">IFERROR(__xludf.DUMMYFUNCTION("""COMPUTED_VALUE"""),"Carla Jamison")</f>
        <v>Carla Jamison</v>
      </c>
      <c r="J3" s="26" t="str">
        <f ca="1">IFERROR(__xludf.DUMMYFUNCTION("""COMPUTED_VALUE"""),"hcats@accenturefederal.com")</f>
        <v>hcats@accenturefederal.com</v>
      </c>
      <c r="K3" s="26" t="str">
        <f ca="1">IFERROR(__xludf.DUMMYFUNCTION("""COMPUTED_VALUE"""),"703-457-7465")</f>
        <v>703-457-7465</v>
      </c>
    </row>
    <row r="4" spans="1:11" ht="45" x14ac:dyDescent="0.25">
      <c r="A4" s="22" t="str">
        <f ca="1">IFERROR(__xludf.DUMMYFUNCTION("""COMPUTED_VALUE"""),"GS02Q16DCR0036")</f>
        <v>GS02Q16DCR0036</v>
      </c>
      <c r="B4" s="23" t="str">
        <f ca="1">IFERROR(__xludf.DUMMYFUNCTION("""COMPUTED_VALUE"""),"American Institutes for Research in the Behavioral Sciences (AIR)")</f>
        <v>American Institutes for Research in the Behavioral Sciences (AIR)</v>
      </c>
      <c r="C4" s="24" t="str">
        <f ca="1">IFERROR(__xludf.DUMMYFUNCTION("""COMPUTED_VALUE"""),"041733197")</f>
        <v>041733197</v>
      </c>
      <c r="D4" s="35" t="str">
        <f ca="1">IFERROR(__xludf.DUMMYFUNCTION("""COMPUTED_VALUE"""),"1400 Crystal Dr 10th Flr
Arlington, Virginia
22202-3289")</f>
        <v>1400 Crystal Dr 10th Flr
Arlington, Virginia
22202-3289</v>
      </c>
      <c r="E4" s="26" t="str">
        <f ca="1">IFERROR(__xludf.DUMMYFUNCTION("""COMPUTED_VALUE"""),"HCaTS_Task_Orders@air.org")</f>
        <v>HCaTS_Task_Orders@air.org</v>
      </c>
      <c r="F4" s="26" t="str">
        <f ca="1">IFERROR(__xludf.DUMMYFUNCTION("""COMPUTED_VALUE"""),"Christina Curnow")</f>
        <v>Christina Curnow</v>
      </c>
      <c r="G4" s="26" t="str">
        <f ca="1">IFERROR(__xludf.DUMMYFUNCTION("""COMPUTED_VALUE"""),"CCurnow@air.org")</f>
        <v>CCurnow@air.org</v>
      </c>
      <c r="H4" s="26" t="str">
        <f ca="1">IFERROR(__xludf.DUMMYFUNCTION("""COMPUTED_VALUE"""),"202-403-6647")</f>
        <v>202-403-6647</v>
      </c>
      <c r="I4" s="26" t="str">
        <f ca="1">IFERROR(__xludf.DUMMYFUNCTION("""COMPUTED_VALUE"""),"Joseph Wagner")</f>
        <v>Joseph Wagner</v>
      </c>
      <c r="J4" s="26" t="str">
        <f ca="1">IFERROR(__xludf.DUMMYFUNCTION("""COMPUTED_VALUE"""),"jwagner@air.org, asullivan@air.org")</f>
        <v>jwagner@air.org, asullivan@air.org</v>
      </c>
      <c r="K4" s="26" t="str">
        <f ca="1">IFERROR(__xludf.DUMMYFUNCTION("""COMPUTED_VALUE"""),"202-403- 5292")</f>
        <v>202-403- 5292</v>
      </c>
    </row>
    <row r="5" spans="1:11" ht="30" x14ac:dyDescent="0.25">
      <c r="A5" s="22" t="str">
        <f ca="1">IFERROR(__xludf.DUMMYFUNCTION("""COMPUTED_VALUE"""),"GS02Q16DCR0110")</f>
        <v>GS02Q16DCR0110</v>
      </c>
      <c r="B5" s="23" t="str">
        <f ca="1">IFERROR(__xludf.DUMMYFUNCTION("""COMPUTED_VALUE"""),"American Systems Corporation")</f>
        <v>American Systems Corporation</v>
      </c>
      <c r="C5" s="24" t="str">
        <f ca="1">IFERROR(__xludf.DUMMYFUNCTION("""COMPUTED_VALUE"""),"077799799")</f>
        <v>077799799</v>
      </c>
      <c r="D5" s="35" t="str">
        <f ca="1">IFERROR(__xludf.DUMMYFUNCTION("""COMPUTED_VALUE"""),"14151 Park Meadow Drive, Suite 500, Chantilly, VA 20151")</f>
        <v>14151 Park Meadow Drive, Suite 500, Chantilly, VA 20151</v>
      </c>
      <c r="E5" s="26" t="str">
        <f ca="1">IFERROR(__xludf.DUMMYFUNCTION("""COMPUTED_VALUE"""),"HCaTSPMO@AmericanSystems.com")</f>
        <v>HCaTSPMO@AmericanSystems.com</v>
      </c>
      <c r="F5" s="26" t="str">
        <f ca="1">IFERROR(__xludf.DUMMYFUNCTION("""COMPUTED_VALUE"""),"Carrie Schori")</f>
        <v>Carrie Schori</v>
      </c>
      <c r="G5" s="26" t="str">
        <f ca="1">IFERROR(__xludf.DUMMYFUNCTION("""COMPUTED_VALUE"""),"carrie.schori@americansystems.com")</f>
        <v>carrie.schori@americansystems.com</v>
      </c>
      <c r="H5" s="26" t="str">
        <f ca="1">IFERROR(__xludf.DUMMYFUNCTION("""COMPUTED_VALUE"""),"703-968-5033")</f>
        <v>703-968-5033</v>
      </c>
      <c r="I5" s="26" t="str">
        <f ca="1">IFERROR(__xludf.DUMMYFUNCTION("""COMPUTED_VALUE"""),"Erin Ballowe")</f>
        <v>Erin Ballowe</v>
      </c>
      <c r="J5" s="26" t="str">
        <f ca="1">IFERROR(__xludf.DUMMYFUNCTION("""COMPUTED_VALUE"""),"Erin.Ballowe@americansystems.com")</f>
        <v>Erin.Ballowe@americansystems.com</v>
      </c>
      <c r="K5" s="26" t="str">
        <f ca="1">IFERROR(__xludf.DUMMYFUNCTION("""COMPUTED_VALUE"""),"703-968-5068")</f>
        <v>703-968-5068</v>
      </c>
    </row>
    <row r="6" spans="1:11" ht="30" x14ac:dyDescent="0.25">
      <c r="A6" s="22" t="str">
        <f ca="1">IFERROR(__xludf.DUMMYFUNCTION("""COMPUTED_VALUE"""),"GS02Q16DCR0048")</f>
        <v>GS02Q16DCR0048</v>
      </c>
      <c r="B6" s="23" t="str">
        <f ca="1">IFERROR(__xludf.DUMMYFUNCTION("""COMPUTED_VALUE"""),"Apprio, Inc")</f>
        <v>Apprio, Inc</v>
      </c>
      <c r="C6" s="24" t="str">
        <f ca="1">IFERROR(__xludf.DUMMYFUNCTION("""COMPUTED_VALUE"""),"120183715")</f>
        <v>120183715</v>
      </c>
      <c r="D6" s="35" t="str">
        <f ca="1">IFERROR(__xludf.DUMMYFUNCTION("""COMPUTED_VALUE"""),"425 3rd St SW Ste 600, Washington, DC 20024")</f>
        <v>425 3rd St SW Ste 600, Washington, DC 20024</v>
      </c>
      <c r="E6" s="26" t="str">
        <f ca="1">IFERROR(__xludf.DUMMYFUNCTION("""COMPUTED_VALUE"""),"HCATS@apprioinc.com")</f>
        <v>HCATS@apprioinc.com</v>
      </c>
      <c r="F6" s="26" t="str">
        <f ca="1">IFERROR(__xludf.DUMMYFUNCTION("""COMPUTED_VALUE"""),"Darryl Britt")</f>
        <v>Darryl Britt</v>
      </c>
      <c r="G6" s="26" t="str">
        <f ca="1">IFERROR(__xludf.DUMMYFUNCTION("""COMPUTED_VALUE"""),"dbritt@apprioinc.com")</f>
        <v>dbritt@apprioinc.com</v>
      </c>
      <c r="H6" s="26" t="str">
        <f ca="1">IFERROR(__xludf.DUMMYFUNCTION("""COMPUTED_VALUE"""),"(202) 638-6987")</f>
        <v>(202) 638-6987</v>
      </c>
      <c r="I6" s="26" t="str">
        <f ca="1">IFERROR(__xludf.DUMMYFUNCTION("""COMPUTED_VALUE"""),"Gloria-Ann Norwood")</f>
        <v>Gloria-Ann Norwood</v>
      </c>
      <c r="J6" s="26" t="str">
        <f ca="1">IFERROR(__xludf.DUMMYFUNCTION("""COMPUTED_VALUE"""),"ganorwood@apprioinc.com")</f>
        <v>ganorwood@apprioinc.com</v>
      </c>
      <c r="K6" s="26" t="str">
        <f ca="1">IFERROR(__xludf.DUMMYFUNCTION("""COMPUTED_VALUE"""),"202.863.9281 x820")</f>
        <v>202.863.9281 x820</v>
      </c>
    </row>
    <row r="7" spans="1:11" ht="30" x14ac:dyDescent="0.25">
      <c r="A7" s="22" t="str">
        <f ca="1">IFERROR(__xludf.DUMMYFUNCTION("""COMPUTED_VALUE"""),"GS02Q16DCR0035")</f>
        <v>GS02Q16DCR0035</v>
      </c>
      <c r="B7" s="23" t="str">
        <f ca="1">IFERROR(__xludf.DUMMYFUNCTION("""COMPUTED_VALUE"""),"Armed Forces Services Corporation (AFSC)")</f>
        <v>Armed Forces Services Corporation (AFSC)</v>
      </c>
      <c r="C7" s="24" t="str">
        <f ca="1">IFERROR(__xludf.DUMMYFUNCTION("""COMPUTED_VALUE"""),"830333824")</f>
        <v>830333824</v>
      </c>
      <c r="D7" s="35" t="str">
        <f ca="1">IFERROR(__xludf.DUMMYFUNCTION("""COMPUTED_VALUE"""),"2800 S. Shirlington Road, Suite 350, Arlington, VA 22206")</f>
        <v>2800 S. Shirlington Road, Suite 350, Arlington, VA 22206</v>
      </c>
      <c r="E7" s="26" t="str">
        <f ca="1">IFERROR(__xludf.DUMMYFUNCTION("""COMPUTED_VALUE"""),"MFBids@MagellanFederal.com")</f>
        <v>MFBids@MagellanFederal.com</v>
      </c>
      <c r="F7" s="26" t="str">
        <f ca="1">IFERROR(__xludf.DUMMYFUNCTION("""COMPUTED_VALUE"""),"Douglas W. Humerick")</f>
        <v>Douglas W. Humerick</v>
      </c>
      <c r="G7" s="26" t="str">
        <f ca="1">IFERROR(__xludf.DUMMYFUNCTION("""COMPUTED_VALUE"""),"humerickd@magellanfederal.com")</f>
        <v>humerickd@magellanfederal.com</v>
      </c>
      <c r="H7" s="26" t="str">
        <f ca="1">IFERROR(__xludf.DUMMYFUNCTION("""COMPUTED_VALUE"""),"860-428-5071")</f>
        <v>860-428-5071</v>
      </c>
      <c r="I7" s="26" t="str">
        <f ca="1">IFERROR(__xludf.DUMMYFUNCTION("""COMPUTED_VALUE"""),"Thomas Sanders")</f>
        <v>Thomas Sanders</v>
      </c>
      <c r="J7" s="26" t="str">
        <f ca="1">IFERROR(__xludf.DUMMYFUNCTION("""COMPUTED_VALUE"""),"sanderst@magellanfederal.com")</f>
        <v>sanderst@magellanfederal.com</v>
      </c>
      <c r="K7" s="26" t="str">
        <f ca="1">IFERROR(__xludf.DUMMYFUNCTION("""COMPUTED_VALUE"""),"407-374-5528")</f>
        <v>407-374-5528</v>
      </c>
    </row>
    <row r="8" spans="1:11" ht="30" x14ac:dyDescent="0.25">
      <c r="A8" s="22" t="str">
        <f ca="1">IFERROR(__xludf.DUMMYFUNCTION("""COMPUTED_VALUE"""),"GS02Q16DCR0037")</f>
        <v>GS02Q16DCR0037</v>
      </c>
      <c r="B8" s="23" t="str">
        <f ca="1">IFERROR(__xludf.DUMMYFUNCTION("""COMPUTED_VALUE"""),"Atlas Research, LLC")</f>
        <v>Atlas Research, LLC</v>
      </c>
      <c r="C8" s="24" t="str">
        <f ca="1">IFERROR(__xludf.DUMMYFUNCTION("""COMPUTED_VALUE"""),"827560744")</f>
        <v>827560744</v>
      </c>
      <c r="D8" s="35" t="str">
        <f ca="1">IFERROR(__xludf.DUMMYFUNCTION("""COMPUTED_VALUE"""),"805 15th Street NW, Suite 650, Washington, DC 20005")</f>
        <v>805 15th Street NW, Suite 650, Washington, DC 20005</v>
      </c>
      <c r="E8" s="26" t="str">
        <f ca="1">IFERROR(__xludf.DUMMYFUNCTION("""COMPUTED_VALUE"""),"growthteam@cvpcorp.com")</f>
        <v>growthteam@cvpcorp.com</v>
      </c>
      <c r="F8" s="26" t="str">
        <f ca="1">IFERROR(__xludf.DUMMYFUNCTION("""COMPUTED_VALUE"""),"Leena Nadkarni")</f>
        <v>Leena Nadkarni</v>
      </c>
      <c r="G8" s="26" t="str">
        <f ca="1">IFERROR(__xludf.DUMMYFUNCTION("""COMPUTED_VALUE"""),"leenanadkarni@cvpcorp.com")</f>
        <v>leenanadkarni@cvpcorp.com</v>
      </c>
      <c r="H8" s="26" t="str">
        <f ca="1">IFERROR(__xludf.DUMMYFUNCTION("""COMPUTED_VALUE"""),"571-363-5088")</f>
        <v>571-363-5088</v>
      </c>
      <c r="I8" s="26" t="str">
        <f ca="1">IFERROR(__xludf.DUMMYFUNCTION("""COMPUTED_VALUE"""),"Allison Bacharach")</f>
        <v>Allison Bacharach</v>
      </c>
      <c r="J8" s="26" t="str">
        <f ca="1">IFERROR(__xludf.DUMMYFUNCTION("""COMPUTED_VALUE"""),"GSA.allisonbacharach@gmail.com")</f>
        <v>GSA.allisonbacharach@gmail.com</v>
      </c>
      <c r="K8" s="26" t="str">
        <f ca="1">IFERROR(__xludf.DUMMYFUNCTION("""COMPUTED_VALUE"""),"215-290-9596")</f>
        <v>215-290-9596</v>
      </c>
    </row>
    <row r="9" spans="1:11" ht="30" x14ac:dyDescent="0.25">
      <c r="A9" s="22" t="str">
        <f ca="1">IFERROR(__xludf.DUMMYFUNCTION("""COMPUTED_VALUE"""),"47QREB22D0007")</f>
        <v>47QREB22D0007</v>
      </c>
      <c r="B9" s="23" t="str">
        <f ca="1">IFERROR(__xludf.DUMMYFUNCTION("""COMPUTED_VALUE"""),"Barbaricum, LLC")</f>
        <v>Barbaricum, LLC</v>
      </c>
      <c r="C9" s="24" t="str">
        <f ca="1">IFERROR(__xludf.DUMMYFUNCTION("""COMPUTED_VALUE"""),"827620308")</f>
        <v>827620308</v>
      </c>
      <c r="D9" s="35" t="str">
        <f ca="1">IFERROR(__xludf.DUMMYFUNCTION("""COMPUTED_VALUE"""),"1714 N Street, NW, Washington, DC 20036")</f>
        <v>1714 N Street, NW, Washington, DC 20036</v>
      </c>
      <c r="E9" s="26" t="str">
        <f ca="1">IFERROR(__xludf.DUMMYFUNCTION("""COMPUTED_VALUE"""),"HCaTS@barbaricum.com")</f>
        <v>HCaTS@barbaricum.com</v>
      </c>
      <c r="F9" s="26" t="str">
        <f ca="1">IFERROR(__xludf.DUMMYFUNCTION("""COMPUTED_VALUE"""),"David K Harnsberry")</f>
        <v>David K Harnsberry</v>
      </c>
      <c r="G9" s="26" t="str">
        <f ca="1">IFERROR(__xludf.DUMMYFUNCTION("""COMPUTED_VALUE"""),"david.harnsberry@barbaricum.com")</f>
        <v>david.harnsberry@barbaricum.com</v>
      </c>
      <c r="H9" s="26" t="str">
        <f ca="1">IFERROR(__xludf.DUMMYFUNCTION("""COMPUTED_VALUE"""),"240-374-3113")</f>
        <v>240-374-3113</v>
      </c>
      <c r="I9" s="26" t="str">
        <f ca="1">IFERROR(__xludf.DUMMYFUNCTION("""COMPUTED_VALUE"""),"Scott Feldmayer")</f>
        <v>Scott Feldmayer</v>
      </c>
      <c r="J9" s="26" t="str">
        <f ca="1">IFERROR(__xludf.DUMMYFUNCTION("""COMPUTED_VALUE"""),"scott.feldmayer@barbaricum.com")</f>
        <v>scott.feldmayer@barbaricum.com</v>
      </c>
      <c r="K9" s="26" t="str">
        <f ca="1">IFERROR(__xludf.DUMMYFUNCTION("""COMPUTED_VALUE"""),"703-629-9790")</f>
        <v>703-629-9790</v>
      </c>
    </row>
    <row r="10" spans="1:11" ht="30" x14ac:dyDescent="0.25">
      <c r="A10" s="22" t="str">
        <f ca="1">IFERROR(__xludf.DUMMYFUNCTION("""COMPUTED_VALUE"""),"GS02Q16DCR0038")</f>
        <v>GS02Q16DCR0038</v>
      </c>
      <c r="B10" s="23" t="str">
        <f ca="1">IFERROR(__xludf.DUMMYFUNCTION("""COMPUTED_VALUE"""),"Booz Allen Hamilton, Inc")</f>
        <v>Booz Allen Hamilton, Inc</v>
      </c>
      <c r="C10" s="24" t="str">
        <f ca="1">IFERROR(__xludf.DUMMYFUNCTION("""COMPUTED_VALUE"""),"006928857")</f>
        <v>006928857</v>
      </c>
      <c r="D10" s="35" t="str">
        <f ca="1">IFERROR(__xludf.DUMMYFUNCTION("""COMPUTED_VALUE"""),"8283 Greensboro Drive, McLean, VA, 22102")</f>
        <v>8283 Greensboro Drive, McLean, VA, 22102</v>
      </c>
      <c r="E10" s="26" t="str">
        <f ca="1">IFERROR(__xludf.DUMMYFUNCTION("""COMPUTED_VALUE"""),"HCaTS@bah.com")</f>
        <v>HCaTS@bah.com</v>
      </c>
      <c r="F10" s="26" t="str">
        <f ca="1">IFERROR(__xludf.DUMMYFUNCTION("""COMPUTED_VALUE"""),"Sarah Scholl")</f>
        <v>Sarah Scholl</v>
      </c>
      <c r="G10" s="26" t="str">
        <f ca="1">IFERROR(__xludf.DUMMYFUNCTION("""COMPUTED_VALUE"""),"scholl_sarah@bah.com")</f>
        <v>scholl_sarah@bah.com</v>
      </c>
      <c r="H10" s="26" t="str">
        <f ca="1">IFERROR(__xludf.DUMMYFUNCTION("""COMPUTED_VALUE"""),"703-902-3703")</f>
        <v>703-902-3703</v>
      </c>
      <c r="I10" s="26" t="str">
        <f ca="1">IFERROR(__xludf.DUMMYFUNCTION("""COMPUTED_VALUE"""),"Tobias Heffernan")</f>
        <v>Tobias Heffernan</v>
      </c>
      <c r="J10" s="26" t="str">
        <f ca="1">IFERROR(__xludf.DUMMYFUNCTION("""COMPUTED_VALUE"""),"heffernan_tobias@bah.com")</f>
        <v>heffernan_tobias@bah.com</v>
      </c>
      <c r="K10" s="26" t="str">
        <f ca="1">IFERROR(__xludf.DUMMYFUNCTION("""COMPUTED_VALUE"""),"703-377-4359")</f>
        <v>703-377-4359</v>
      </c>
    </row>
    <row r="11" spans="1:11" ht="30" x14ac:dyDescent="0.25">
      <c r="A11" s="22" t="str">
        <f ca="1">IFERROR(__xludf.DUMMYFUNCTION("""COMPUTED_VALUE"""),"GS02Q16DCR0039")</f>
        <v>GS02Q16DCR0039</v>
      </c>
      <c r="B11" s="23" t="str">
        <f ca="1">IFERROR(__xludf.DUMMYFUNCTION("""COMPUTED_VALUE"""),"C2 Technologies, Inc")</f>
        <v>C2 Technologies, Inc</v>
      </c>
      <c r="C11" s="24" t="str">
        <f ca="1">IFERROR(__xludf.DUMMYFUNCTION("""COMPUTED_VALUE"""),"807021241")</f>
        <v>807021241</v>
      </c>
      <c r="D11" s="35" t="str">
        <f ca="1">IFERROR(__xludf.DUMMYFUNCTION("""COMPUTED_VALUE"""),"1921 Gallows Rd Ste 200, Vienna, VA 22182-3900")</f>
        <v>1921 Gallows Rd Ste 200, Vienna, VA 22182-3900</v>
      </c>
      <c r="E11" s="26" t="str">
        <f ca="1">IFERROR(__xludf.DUMMYFUNCTION("""COMPUTED_VALUE"""),"hcats@c2ti.com")</f>
        <v>hcats@c2ti.com</v>
      </c>
      <c r="F11" s="26" t="str">
        <f ca="1">IFERROR(__xludf.DUMMYFUNCTION("""COMPUTED_VALUE"""),"Dara Nicholls")</f>
        <v>Dara Nicholls</v>
      </c>
      <c r="G11" s="26" t="str">
        <f ca="1">IFERROR(__xludf.DUMMYFUNCTION("""COMPUTED_VALUE"""),"dnicholls@c2ti.com")</f>
        <v>dnicholls@c2ti.com</v>
      </c>
      <c r="H11" s="26" t="str">
        <f ca="1">IFERROR(__xludf.DUMMYFUNCTION("""COMPUTED_VALUE"""),"703-200-1441")</f>
        <v>703-200-1441</v>
      </c>
      <c r="I11" s="26" t="str">
        <f ca="1">IFERROR(__xludf.DUMMYFUNCTION("""COMPUTED_VALUE"""),"Ryan J. VandeMark")</f>
        <v>Ryan J. VandeMark</v>
      </c>
      <c r="J11" s="26" t="str">
        <f ca="1">IFERROR(__xludf.DUMMYFUNCTION("""COMPUTED_VALUE"""),"rvandemark@c2ti.com")</f>
        <v>rvandemark@c2ti.com</v>
      </c>
      <c r="K11" s="26" t="str">
        <f ca="1">IFERROR(__xludf.DUMMYFUNCTION("""COMPUTED_VALUE"""),"703-448-7946")</f>
        <v>703-448-7946</v>
      </c>
    </row>
    <row r="12" spans="1:11" ht="45" x14ac:dyDescent="0.25">
      <c r="A12" s="22" t="str">
        <f ca="1">IFERROR(__xludf.DUMMYFUNCTION("""COMPUTED_VALUE"""),"GS02Q16DCR0040")</f>
        <v>GS02Q16DCR0040</v>
      </c>
      <c r="B12" s="23" t="str">
        <f ca="1">IFERROR(__xludf.DUMMYFUNCTION("""COMPUTED_VALUE"""),"Calibre Systems, Inc")</f>
        <v>Calibre Systems, Inc</v>
      </c>
      <c r="C12" s="24" t="str">
        <f ca="1">IFERROR(__xludf.DUMMYFUNCTION("""COMPUTED_VALUE"""),"555498187")</f>
        <v>555498187</v>
      </c>
      <c r="D12" s="35" t="str">
        <f ca="1">IFERROR(__xludf.DUMMYFUNCTION("""COMPUTED_VALUE"""),"6361 Walker Lane,
Metro Park, Suite 1100
Alexandria, VA 22310-3275")</f>
        <v>6361 Walker Lane,
Metro Park, Suite 1100
Alexandria, VA 22310-3275</v>
      </c>
      <c r="E12" s="26" t="str">
        <f ca="1">IFERROR(__xludf.DUMMYFUNCTION("""COMPUTED_VALUE"""),"HCaTS@calibresys.com")</f>
        <v>HCaTS@calibresys.com</v>
      </c>
      <c r="F12" s="26" t="str">
        <f ca="1">IFERROR(__xludf.DUMMYFUNCTION("""COMPUTED_VALUE"""),"Owen Lovejoy")</f>
        <v>Owen Lovejoy</v>
      </c>
      <c r="G12" s="26" t="str">
        <f ca="1">IFERROR(__xludf.DUMMYFUNCTION("""COMPUTED_VALUE"""),"owen.lovejoy@calibresys.com")</f>
        <v>owen.lovejoy@calibresys.com</v>
      </c>
      <c r="H12" s="26" t="str">
        <f ca="1">IFERROR(__xludf.DUMMYFUNCTION("""COMPUTED_VALUE"""),"(703)-797-8500")</f>
        <v>(703)-797-8500</v>
      </c>
      <c r="I12" s="26" t="str">
        <f ca="1">IFERROR(__xludf.DUMMYFUNCTION("""COMPUTED_VALUE"""),"Barbara Richitt")</f>
        <v>Barbara Richitt</v>
      </c>
      <c r="J12" s="26" t="str">
        <f ca="1">IFERROR(__xludf.DUMMYFUNCTION("""COMPUTED_VALUE"""),"Contracts@calibresys.com, barbara.richitt@calibresys.com")</f>
        <v>Contracts@calibresys.com, barbara.richitt@calibresys.com</v>
      </c>
      <c r="K12" s="26" t="str">
        <f ca="1">IFERROR(__xludf.DUMMYFUNCTION("""COMPUTED_VALUE"""),"202-251-2194")</f>
        <v>202-251-2194</v>
      </c>
    </row>
    <row r="13" spans="1:11" ht="30" x14ac:dyDescent="0.25">
      <c r="A13" s="22" t="str">
        <f ca="1">IFERROR(__xludf.DUMMYFUNCTION("""COMPUTED_VALUE"""),"GS02Q16DCR0043")</f>
        <v>GS02Q16DCR0043</v>
      </c>
      <c r="B13" s="23" t="str">
        <f ca="1">IFERROR(__xludf.DUMMYFUNCTION("""COMPUTED_VALUE"""),"Celerity Government Solutions LLC dba Xcelerate Solutions")</f>
        <v>Celerity Government Solutions LLC dba Xcelerate Solutions</v>
      </c>
      <c r="C13" s="24" t="str">
        <f ca="1">IFERROR(__xludf.DUMMYFUNCTION("""COMPUTED_VALUE"""),"831726588")</f>
        <v>831726588</v>
      </c>
      <c r="D13" s="35" t="str">
        <f ca="1">IFERROR(__xludf.DUMMYFUNCTION("""COMPUTED_VALUE"""),"8401 Greensboro Drive, Suite 930, McLean, VA 22102-3599")</f>
        <v>8401 Greensboro Drive, Suite 930, McLean, VA 22102-3599</v>
      </c>
      <c r="E13" s="26" t="str">
        <f ca="1">IFERROR(__xludf.DUMMYFUNCTION("""COMPUTED_VALUE"""),"hcats@xceleratesolutions.com")</f>
        <v>hcats@xceleratesolutions.com</v>
      </c>
      <c r="F13" s="26" t="str">
        <f ca="1">IFERROR(__xludf.DUMMYFUNCTION("""COMPUTED_VALUE"""),"Leo Patino")</f>
        <v>Leo Patino</v>
      </c>
      <c r="G13" s="26" t="str">
        <f ca="1">IFERROR(__xludf.DUMMYFUNCTION("""COMPUTED_VALUE"""),"lpatino@xceleratesolutions.com")</f>
        <v>lpatino@xceleratesolutions.com</v>
      </c>
      <c r="H13" s="26" t="str">
        <f ca="1">IFERROR(__xludf.DUMMYFUNCTION("""COMPUTED_VALUE"""),"703-462-1538 x618")</f>
        <v>703-462-1538 x618</v>
      </c>
      <c r="I13" s="26" t="str">
        <f ca="1">IFERROR(__xludf.DUMMYFUNCTION("""COMPUTED_VALUE"""),"Greg Lavoie")</f>
        <v>Greg Lavoie</v>
      </c>
      <c r="J13" s="26" t="str">
        <f ca="1">IFERROR(__xludf.DUMMYFUNCTION("""COMPUTED_VALUE"""),"glavoie@xceleratesolutions.com")</f>
        <v>glavoie@xceleratesolutions.com</v>
      </c>
      <c r="K13" s="26" t="str">
        <f ca="1">IFERROR(__xludf.DUMMYFUNCTION("""COMPUTED_VALUE"""),"703-462-1538 x617")</f>
        <v>703-462-1538 x617</v>
      </c>
    </row>
    <row r="14" spans="1:11" ht="30" x14ac:dyDescent="0.25">
      <c r="A14" s="22" t="str">
        <f ca="1">IFERROR(__xludf.DUMMYFUNCTION("""COMPUTED_VALUE"""),"GS02Q16DCR0112")</f>
        <v>GS02Q16DCR0112</v>
      </c>
      <c r="B14" s="23" t="str">
        <f ca="1">IFERROR(__xludf.DUMMYFUNCTION("""COMPUTED_VALUE"""),"Cherokee Nation Technology Solutions, LLC")</f>
        <v>Cherokee Nation Technology Solutions, LLC</v>
      </c>
      <c r="C14" s="24" t="str">
        <f ca="1">IFERROR(__xludf.DUMMYFUNCTION("""COMPUTED_VALUE"""),"828447594")</f>
        <v>828447594</v>
      </c>
      <c r="D14" s="35" t="str">
        <f ca="1">IFERROR(__xludf.DUMMYFUNCTION("""COMPUTED_VALUE"""),"777 W. Cherokee St. Catoosa, OK 74015-3235")</f>
        <v>777 W. Cherokee St. Catoosa, OK 74015-3235</v>
      </c>
      <c r="E14" s="26" t="str">
        <f ca="1">IFERROR(__xludf.DUMMYFUNCTION("""COMPUTED_VALUE"""),"CNTS.HCaTS@cn-bus.com")</f>
        <v>CNTS.HCaTS@cn-bus.com</v>
      </c>
      <c r="F14" s="26" t="str">
        <f ca="1">IFERROR(__xludf.DUMMYFUNCTION("""COMPUTED_VALUE"""),"Rachel Heckel")</f>
        <v>Rachel Heckel</v>
      </c>
      <c r="G14" s="26" t="str">
        <f ca="1">IFERROR(__xludf.DUMMYFUNCTION("""COMPUTED_VALUE"""),"rachel.heckel@cherokee-federal.com")</f>
        <v>rachel.heckel@cherokee-federal.com</v>
      </c>
      <c r="H14" s="26" t="str">
        <f ca="1">IFERROR(__xludf.DUMMYFUNCTION("""COMPUTED_VALUE"""),"303-996-8442")</f>
        <v>303-996-8442</v>
      </c>
      <c r="I14" s="26" t="str">
        <f ca="1">IFERROR(__xludf.DUMMYFUNCTION("""COMPUTED_VALUE"""),"Darryl Braxton")</f>
        <v>Darryl Braxton</v>
      </c>
      <c r="J14" s="26" t="str">
        <f ca="1">IFERROR(__xludf.DUMMYFUNCTION("""COMPUTED_VALUE"""),"Darryl.braxton@cherokee-federal.com")</f>
        <v>Darryl.braxton@cherokee-federal.com</v>
      </c>
      <c r="K14" s="26" t="str">
        <f ca="1">IFERROR(__xludf.DUMMYFUNCTION("""COMPUTED_VALUE"""),"210-323-4112")</f>
        <v>210-323-4112</v>
      </c>
    </row>
    <row r="15" spans="1:11" ht="30" x14ac:dyDescent="0.25">
      <c r="A15" s="22" t="str">
        <f ca="1">IFERROR(__xludf.DUMMYFUNCTION("""COMPUTED_VALUE"""),"GS02Q16DCR0046")</f>
        <v>GS02Q16DCR0046</v>
      </c>
      <c r="B15" s="23" t="str">
        <f ca="1">IFERROR(__xludf.DUMMYFUNCTION("""COMPUTED_VALUE"""),"Deloitte Consulting LLP")</f>
        <v>Deloitte Consulting LLP</v>
      </c>
      <c r="C15" s="24" t="str">
        <f ca="1">IFERROR(__xludf.DUMMYFUNCTION("""COMPUTED_VALUE"""),"019121586")</f>
        <v>019121586</v>
      </c>
      <c r="D15" s="35" t="str">
        <f ca="1">IFERROR(__xludf.DUMMYFUNCTION("""COMPUTED_VALUE"""),"1919 N Lynn St, Arlington, VA, 22209-1742")</f>
        <v>1919 N Lynn St, Arlington, VA, 22209-1742</v>
      </c>
      <c r="E15" s="26" t="str">
        <f ca="1">IFERROR(__xludf.DUMMYFUNCTION("""COMPUTED_VALUE"""),"usgsahcats@deloitte.com")</f>
        <v>usgsahcats@deloitte.com</v>
      </c>
      <c r="F15" s="26" t="str">
        <f ca="1">IFERROR(__xludf.DUMMYFUNCTION("""COMPUTED_VALUE"""),"Roger Sion")</f>
        <v>Roger Sion</v>
      </c>
      <c r="G15" s="26" t="str">
        <f ca="1">IFERROR(__xludf.DUMMYFUNCTION("""COMPUTED_VALUE"""),"rsion@deloitte.com")</f>
        <v>rsion@deloitte.com</v>
      </c>
      <c r="H15" s="26" t="str">
        <f ca="1">IFERROR(__xludf.DUMMYFUNCTION("""COMPUTED_VALUE"""),"571-882-8123")</f>
        <v>571-882-8123</v>
      </c>
      <c r="I15" s="26" t="str">
        <f ca="1">IFERROR(__xludf.DUMMYFUNCTION("""COMPUTED_VALUE"""),"Nancy Dunn")</f>
        <v>Nancy Dunn</v>
      </c>
      <c r="J15" s="26" t="str">
        <f ca="1">IFERROR(__xludf.DUMMYFUNCTION("""COMPUTED_VALUE"""),"nadunn@deloitte.com")</f>
        <v>nadunn@deloitte.com</v>
      </c>
      <c r="K15" s="26" t="str">
        <f ca="1">IFERROR(__xludf.DUMMYFUNCTION("""COMPUTED_VALUE""")," 703-251-1143")</f>
        <v xml:space="preserve"> 703-251-1143</v>
      </c>
    </row>
    <row r="16" spans="1:11" ht="30" x14ac:dyDescent="0.25">
      <c r="A16" s="22" t="str">
        <f ca="1">IFERROR(__xludf.DUMMYFUNCTION("""COMPUTED_VALUE"""),"47QREB22D0009")</f>
        <v>47QREB22D0009</v>
      </c>
      <c r="B16" s="23" t="str">
        <f ca="1">IFERROR(__xludf.DUMMYFUNCTION("""COMPUTED_VALUE"""),"DSFederal, Inc")</f>
        <v>DSFederal, Inc</v>
      </c>
      <c r="C16" s="24" t="str">
        <f ca="1">IFERROR(__xludf.DUMMYFUNCTION("""COMPUTED_VALUE"""),"805643546")</f>
        <v>805643546</v>
      </c>
      <c r="D16" s="35" t="str">
        <f ca="1">IFERROR(__xludf.DUMMYFUNCTION("""COMPUTED_VALUE"""),"1803 Research Blvd., Suite 601B, Rockville, MD 20850")</f>
        <v>1803 Research Blvd., Suite 601B, Rockville, MD 20850</v>
      </c>
      <c r="E16" s="26" t="str">
        <f ca="1">IFERROR(__xludf.DUMMYFUNCTION("""COMPUTED_VALUE"""),"hcats@dsfederal.com")</f>
        <v>hcats@dsfederal.com</v>
      </c>
      <c r="F16" s="26" t="str">
        <f ca="1">IFERROR(__xludf.DUMMYFUNCTION("""COMPUTED_VALUE"""),"Stefani Olsen")</f>
        <v>Stefani Olsen</v>
      </c>
      <c r="G16" s="26" t="str">
        <f ca="1">IFERROR(__xludf.DUMMYFUNCTION("""COMPUTED_VALUE"""),"stefani.olsen@dsfederal.com")</f>
        <v>stefani.olsen@dsfederal.com</v>
      </c>
      <c r="H16" s="26" t="str">
        <f ca="1">IFERROR(__xludf.DUMMYFUNCTION("""COMPUTED_VALUE"""),"240-381-3891")</f>
        <v>240-381-3891</v>
      </c>
      <c r="I16" s="26" t="str">
        <f ca="1">IFERROR(__xludf.DUMMYFUNCTION("""COMPUTED_VALUE"""),"Maggie Lin")</f>
        <v>Maggie Lin</v>
      </c>
      <c r="J16" s="26" t="str">
        <f ca="1">IFERROR(__xludf.DUMMYFUNCTION("""COMPUTED_VALUE"""),"maggie.lin@dsfederal.com")</f>
        <v>maggie.lin@dsfederal.com</v>
      </c>
      <c r="K16" s="26" t="str">
        <f ca="1">IFERROR(__xludf.DUMMYFUNCTION("""COMPUTED_VALUE"""),"240-669-2268")</f>
        <v>240-669-2268</v>
      </c>
    </row>
    <row r="17" spans="1:11" ht="30" x14ac:dyDescent="0.25">
      <c r="A17" s="22" t="str">
        <f ca="1">IFERROR(__xludf.DUMMYFUNCTION("""COMPUTED_VALUE"""),"47QREB22D0005")</f>
        <v>47QREB22D0005</v>
      </c>
      <c r="B17" s="23" t="str">
        <f ca="1">IFERROR(__xludf.DUMMYFUNCTION("""COMPUTED_VALUE"""),"Dynamis, Inc")</f>
        <v>Dynamis, Inc</v>
      </c>
      <c r="C17" s="24" t="str">
        <f ca="1">IFERROR(__xludf.DUMMYFUNCTION("""COMPUTED_VALUE"""),"809429728")</f>
        <v>809429728</v>
      </c>
      <c r="D17" s="35" t="str">
        <f ca="1">IFERROR(__xludf.DUMMYFUNCTION("""COMPUTED_VALUE"""),"3130 Fairview Park Dr. STE 300, Falls Church, VA 22042-4578 ")</f>
        <v xml:space="preserve">3130 Fairview Park Dr. STE 300, Falls Church, VA 22042-4578 </v>
      </c>
      <c r="E17" s="26" t="str">
        <f ca="1">IFERROR(__xludf.DUMMYFUNCTION("""COMPUTED_VALUE"""),"hcats@dynamis.com")</f>
        <v>hcats@dynamis.com</v>
      </c>
      <c r="F17" s="26" t="str">
        <f ca="1">IFERROR(__xludf.DUMMYFUNCTION("""COMPUTED_VALUE"""),"Sarah Smith")</f>
        <v>Sarah Smith</v>
      </c>
      <c r="G17" s="26" t="str">
        <f ca="1">IFERROR(__xludf.DUMMYFUNCTION("""COMPUTED_VALUE"""),"ssmith@dynamis.com")</f>
        <v>ssmith@dynamis.com</v>
      </c>
      <c r="H17" s="26" t="str">
        <f ca="1">IFERROR(__xludf.DUMMYFUNCTION("""COMPUTED_VALUE"""),"703-465-4400")</f>
        <v>703-465-4400</v>
      </c>
      <c r="I17" s="26" t="str">
        <f ca="1">IFERROR(__xludf.DUMMYFUNCTION("""COMPUTED_VALUE"""),"Ruth Sherril")</f>
        <v>Ruth Sherril</v>
      </c>
      <c r="J17" s="26" t="str">
        <f ca="1">IFERROR(__xludf.DUMMYFUNCTION("""COMPUTED_VALUE"""),"rsherrill@dynamis.com")</f>
        <v>rsherrill@dynamis.com</v>
      </c>
      <c r="K17" s="26" t="str">
        <f ca="1">IFERROR(__xludf.DUMMYFUNCTION("""COMPUTED_VALUE"""),"703-465-4400")</f>
        <v>703-465-4400</v>
      </c>
    </row>
    <row r="18" spans="1:11" ht="30" x14ac:dyDescent="0.25">
      <c r="A18" s="22" t="str">
        <f ca="1">IFERROR(__xludf.DUMMYFUNCTION("""COMPUTED_VALUE"""),"47QREB22D0006")</f>
        <v>47QREB22D0006</v>
      </c>
      <c r="B18" s="23" t="str">
        <f ca="1">IFERROR(__xludf.DUMMYFUNCTION("""COMPUTED_VALUE"""),"Eagle Hill Consulting, LLC")</f>
        <v>Eagle Hill Consulting, LLC</v>
      </c>
      <c r="C18" s="24" t="str">
        <f ca="1">IFERROR(__xludf.DUMMYFUNCTION("""COMPUTED_VALUE"""),"137206202")</f>
        <v>137206202</v>
      </c>
      <c r="D18" s="35" t="str">
        <f ca="1">IFERROR(__xludf.DUMMYFUNCTION("""COMPUTED_VALUE"""),"241 18th Street S., Suite 615, Arlington, VA 22202")</f>
        <v>241 18th Street S., Suite 615, Arlington, VA 22202</v>
      </c>
      <c r="E18" s="26" t="str">
        <f ca="1">IFERROR(__xludf.DUMMYFUNCTION("""COMPUTED_VALUE"""),"HCATS@eaglehillconsulting.com")</f>
        <v>HCATS@eaglehillconsulting.com</v>
      </c>
      <c r="F18" s="26" t="str">
        <f ca="1">IFERROR(__xludf.DUMMYFUNCTION("""COMPUTED_VALUE"""),"Andy Shuler")</f>
        <v>Andy Shuler</v>
      </c>
      <c r="G18" s="26" t="str">
        <f ca="1">IFERROR(__xludf.DUMMYFUNCTION("""COMPUTED_VALUE"""),"ashuler@eaglehillconsulting.com")</f>
        <v>ashuler@eaglehillconsulting.com</v>
      </c>
      <c r="H18" s="26" t="str">
        <f ca="1">IFERROR(__xludf.DUMMYFUNCTION("""COMPUTED_VALUE"""),"518-469-1864")</f>
        <v>518-469-1864</v>
      </c>
      <c r="I18" s="26" t="str">
        <f ca="1">IFERROR(__xludf.DUMMYFUNCTION("""COMPUTED_VALUE"""),"Nathan Weinman")</f>
        <v>Nathan Weinman</v>
      </c>
      <c r="J18" s="26" t="str">
        <f ca="1">IFERROR(__xludf.DUMMYFUNCTION("""COMPUTED_VALUE"""),"nweinman@eaglehillconsulting.com")</f>
        <v>nweinman@eaglehillconsulting.com</v>
      </c>
      <c r="K18" s="26" t="str">
        <f ca="1">IFERROR(__xludf.DUMMYFUNCTION("""COMPUTED_VALUE"""),"703-229-8660")</f>
        <v>703-229-8660</v>
      </c>
    </row>
    <row r="19" spans="1:11" ht="30" x14ac:dyDescent="0.25">
      <c r="A19" s="22" t="str">
        <f ca="1">IFERROR(__xludf.DUMMYFUNCTION("""COMPUTED_VALUE"""),"GS02Q16DCR0114")</f>
        <v>GS02Q16DCR0114</v>
      </c>
      <c r="B19" s="23" t="str">
        <f ca="1">IFERROR(__xludf.DUMMYFUNCTION("""COMPUTED_VALUE"""),"Fors Marsh Group, LLC")</f>
        <v>Fors Marsh Group, LLC</v>
      </c>
      <c r="C19" s="24" t="str">
        <f ca="1">IFERROR(__xludf.DUMMYFUNCTION("""COMPUTED_VALUE"""),"129842667")</f>
        <v>129842667</v>
      </c>
      <c r="D19" s="35" t="str">
        <f ca="1">IFERROR(__xludf.DUMMYFUNCTION("""COMPUTED_VALUE"""),"1010 N. Glebe Rd, Ste 510, Arlington VA 22201           ")</f>
        <v xml:space="preserve">1010 N. Glebe Rd, Ste 510, Arlington VA 22201           </v>
      </c>
      <c r="E19" s="26" t="str">
        <f ca="1">IFERROR(__xludf.DUMMYFUNCTION("""COMPUTED_VALUE"""),"HCATS@ForsMarshGroup.com")</f>
        <v>HCATS@ForsMarshGroup.com</v>
      </c>
      <c r="F19" s="26" t="str">
        <f ca="1">IFERROR(__xludf.DUMMYFUNCTION("""COMPUTED_VALUE"""),"Ben Garthwaite")</f>
        <v>Ben Garthwaite</v>
      </c>
      <c r="G19" s="26" t="str">
        <f ca="1">IFERROR(__xludf.DUMMYFUNCTION("""COMPUTED_VALUE"""),"bgarthwaite@forsmarshgroup.com")</f>
        <v>bgarthwaite@forsmarshgroup.com</v>
      </c>
      <c r="H19" s="26" t="str">
        <f ca="1">IFERROR(__xludf.DUMMYFUNCTION("""COMPUTED_VALUE"""),"571-858-3799")</f>
        <v>571-858-3799</v>
      </c>
      <c r="I19" s="26" t="str">
        <f ca="1">IFERROR(__xludf.DUMMYFUNCTION("""COMPUTED_VALUE"""),"Patrick Samsel")</f>
        <v>Patrick Samsel</v>
      </c>
      <c r="J19" s="26" t="str">
        <f ca="1">IFERROR(__xludf.DUMMYFUNCTION("""COMPUTED_VALUE"""),"psamsel@forsmarshgroup.com")</f>
        <v>psamsel@forsmarshgroup.com</v>
      </c>
      <c r="K19" s="26" t="str">
        <f ca="1">IFERROR(__xludf.DUMMYFUNCTION("""COMPUTED_VALUE"""),"571-303-2895")</f>
        <v>571-303-2895</v>
      </c>
    </row>
    <row r="20" spans="1:11" ht="30" x14ac:dyDescent="0.25">
      <c r="A20" s="22" t="str">
        <f ca="1">IFERROR(__xludf.DUMMYFUNCTION("""COMPUTED_VALUE"""),"GS02Q16DCR0049")</f>
        <v>GS02Q16DCR0049</v>
      </c>
      <c r="B20" s="23" t="str">
        <f ca="1">IFERROR(__xludf.DUMMYFUNCTION("""COMPUTED_VALUE"""),"GAP Solutions, Inc")</f>
        <v>GAP Solutions, Inc</v>
      </c>
      <c r="C20" s="24" t="str">
        <f ca="1">IFERROR(__xludf.DUMMYFUNCTION("""COMPUTED_VALUE"""),"120439869")</f>
        <v>120439869</v>
      </c>
      <c r="D20" s="35" t="str">
        <f ca="1">IFERROR(__xludf.DUMMYFUNCTION("""COMPUTED_VALUE"""),"205 Van Buren Street, Suite 205, Herndon, VA, 20170-5336")</f>
        <v>205 Van Buren Street, Suite 205, Herndon, VA, 20170-5336</v>
      </c>
      <c r="E20" s="26" t="str">
        <f ca="1">IFERROR(__xludf.DUMMYFUNCTION("""COMPUTED_VALUE"""),"HCaTS@gapsi.com")</f>
        <v>HCaTS@gapsi.com</v>
      </c>
      <c r="F20" s="26" t="str">
        <f ca="1">IFERROR(__xludf.DUMMYFUNCTION("""COMPUTED_VALUE"""),"Gregory Dameron")</f>
        <v>Gregory Dameron</v>
      </c>
      <c r="G20" s="26" t="str">
        <f ca="1">IFERROR(__xludf.DUMMYFUNCTION("""COMPUTED_VALUE"""),"gregory.dameron@gapsi.com")</f>
        <v>gregory.dameron@gapsi.com</v>
      </c>
      <c r="H20" s="26" t="str">
        <f ca="1">IFERROR(__xludf.DUMMYFUNCTION("""COMPUTED_VALUE"""),"703-332-9763")</f>
        <v>703-332-9763</v>
      </c>
      <c r="I20" s="26" t="str">
        <f ca="1">IFERROR(__xludf.DUMMYFUNCTION("""COMPUTED_VALUE"""),"Edsson Contreras")</f>
        <v>Edsson Contreras</v>
      </c>
      <c r="J20" s="26" t="str">
        <f ca="1">IFERROR(__xludf.DUMMYFUNCTION("""COMPUTED_VALUE"""),"econtreras@gapsi.com")</f>
        <v>econtreras@gapsi.com</v>
      </c>
      <c r="K20" s="26" t="str">
        <f ca="1">IFERROR(__xludf.DUMMYFUNCTION("""COMPUTED_VALUE"""),"703-964-1569")</f>
        <v>703-964-1569</v>
      </c>
    </row>
    <row r="21" spans="1:11" ht="30" x14ac:dyDescent="0.25">
      <c r="A21" s="22" t="str">
        <f ca="1">IFERROR(__xludf.DUMMYFUNCTION("""COMPUTED_VALUE"""),"GS02Q16DCR0050")</f>
        <v>GS02Q16DCR0050</v>
      </c>
      <c r="B21" s="23" t="str">
        <f ca="1">IFERROR(__xludf.DUMMYFUNCTION("""COMPUTED_VALUE"""),"General Dynamics Information Technology, Inc")</f>
        <v>General Dynamics Information Technology, Inc</v>
      </c>
      <c r="C21" s="24" t="str">
        <f ca="1">IFERROR(__xludf.DUMMYFUNCTION("""COMPUTED_VALUE"""),"067641597")</f>
        <v>067641597</v>
      </c>
      <c r="D21" s="35" t="str">
        <f ca="1">IFERROR(__xludf.DUMMYFUNCTION("""COMPUTED_VALUE"""),"3150 Fairview Park Dr Ste 100, Falls Church, VA, 22042-4504")</f>
        <v>3150 Fairview Park Dr Ste 100, Falls Church, VA, 22042-4504</v>
      </c>
      <c r="E21" s="26" t="str">
        <f ca="1">IFERROR(__xludf.DUMMYFUNCTION("""COMPUTED_VALUE"""),"gditgsa@gdit.com")</f>
        <v>gditgsa@gdit.com</v>
      </c>
      <c r="F21" s="26" t="str">
        <f ca="1">IFERROR(__xludf.DUMMYFUNCTION("""COMPUTED_VALUE"""),"Steve Felber")</f>
        <v>Steve Felber</v>
      </c>
      <c r="G21" s="26" t="str">
        <f ca="1">IFERROR(__xludf.DUMMYFUNCTION("""COMPUTED_VALUE"""),"Steve.Felber@gdit.com")</f>
        <v>Steve.Felber@gdit.com</v>
      </c>
      <c r="H21" s="26" t="str">
        <f ca="1">IFERROR(__xludf.DUMMYFUNCTION("""COMPUTED_VALUE"""),"571-533-3195")</f>
        <v>571-533-3195</v>
      </c>
      <c r="I21" s="26" t="str">
        <f ca="1">IFERROR(__xludf.DUMMYFUNCTION("""COMPUTED_VALUE"""),"Elisa Rhee")</f>
        <v>Elisa Rhee</v>
      </c>
      <c r="J21" s="26" t="str">
        <f ca="1">IFERROR(__xludf.DUMMYFUNCTION("""COMPUTED_VALUE"""),"elisa.rhee@gdit.com")</f>
        <v>elisa.rhee@gdit.com</v>
      </c>
      <c r="K21" s="26" t="str">
        <f ca="1">IFERROR(__xludf.DUMMYFUNCTION("""COMPUTED_VALUE"""),"703-270-1074")</f>
        <v>703-270-1074</v>
      </c>
    </row>
    <row r="22" spans="1:11" ht="30" x14ac:dyDescent="0.25">
      <c r="A22" s="22" t="str">
        <f ca="1">IFERROR(__xludf.DUMMYFUNCTION("""COMPUTED_VALUE"""),"GS02Q16DCR0051")</f>
        <v>GS02Q16DCR0051</v>
      </c>
      <c r="B22" s="23" t="str">
        <f ca="1">IFERROR(__xludf.DUMMYFUNCTION("""COMPUTED_VALUE"""),"Golden Key Group, LLC (GKG)")</f>
        <v>Golden Key Group, LLC (GKG)</v>
      </c>
      <c r="C22" s="24" t="str">
        <f ca="1">IFERROR(__xludf.DUMMYFUNCTION("""COMPUTED_VALUE"""),"111187295")</f>
        <v>111187295</v>
      </c>
      <c r="D22" s="35" t="str">
        <f ca="1">IFERROR(__xludf.DUMMYFUNCTION("""COMPUTED_VALUE"""),"1850 Centennial Park Dr Ste 200, Reston, VA, 20191-1517")</f>
        <v>1850 Centennial Park Dr Ste 200, Reston, VA, 20191-1517</v>
      </c>
      <c r="E22" s="26" t="str">
        <f ca="1">IFERROR(__xludf.DUMMYFUNCTION("""COMPUTED_VALUE"""),"HCaTS@goldenkeygroup.com")</f>
        <v>HCaTS@goldenkeygroup.com</v>
      </c>
      <c r="F22" s="26" t="str">
        <f ca="1">IFERROR(__xludf.DUMMYFUNCTION("""COMPUTED_VALUE"""),"Mary Loechler")</f>
        <v>Mary Loechler</v>
      </c>
      <c r="G22" s="26" t="str">
        <f ca="1">IFERROR(__xludf.DUMMYFUNCTION("""COMPUTED_VALUE"""),"mloechler@goldenkeygroup.com")</f>
        <v>mloechler@goldenkeygroup.com</v>
      </c>
      <c r="H22" s="26" t="str">
        <f ca="1">IFERROR(__xludf.DUMMYFUNCTION("""COMPUTED_VALUE"""),"703-815-0290 Ext 234")</f>
        <v>703-815-0290 Ext 234</v>
      </c>
      <c r="I22" s="26" t="str">
        <f ca="1">IFERROR(__xludf.DUMMYFUNCTION("""COMPUTED_VALUE"""),"Anthony Meadows")</f>
        <v>Anthony Meadows</v>
      </c>
      <c r="J22" s="26" t="str">
        <f ca="1">IFERROR(__xludf.DUMMYFUNCTION("""COMPUTED_VALUE"""),"AMeadows@goldenkeygroup.com, contracts@goldenkeygroup.com")</f>
        <v>AMeadows@goldenkeygroup.com, contracts@goldenkeygroup.com</v>
      </c>
      <c r="K22" s="26" t="str">
        <f ca="1">IFERROR(__xludf.DUMMYFUNCTION("""COMPUTED_VALUE"""),"703-402-8147")</f>
        <v>703-402-8147</v>
      </c>
    </row>
    <row r="23" spans="1:11" ht="30" x14ac:dyDescent="0.25">
      <c r="A23" s="22" t="str">
        <f ca="1">IFERROR(__xludf.DUMMYFUNCTION("""COMPUTED_VALUE"""),"GS02Q16DCR0064")</f>
        <v>GS02Q16DCR0064</v>
      </c>
      <c r="B23" s="23" t="str">
        <f ca="1">IFERROR(__xludf.DUMMYFUNCTION("""COMPUTED_VALUE"""),"Guidehouse, Inc")</f>
        <v>Guidehouse, Inc</v>
      </c>
      <c r="C23" s="24" t="str">
        <f ca="1">IFERROR(__xludf.DUMMYFUNCTION("""COMPUTED_VALUE"""),"022582428")</f>
        <v>022582428</v>
      </c>
      <c r="D23" s="35" t="str">
        <f ca="1">IFERROR(__xludf.DUMMYFUNCTION("""COMPUTED_VALUE"""),"1676 INTERNATIONAL DR STE 800
MCLEAN, VA 22102-3600")</f>
        <v>1676 INTERNATIONAL DR STE 800
MCLEAN, VA 22102-3600</v>
      </c>
      <c r="E23" s="26" t="str">
        <f ca="1">IFERROR(__xludf.DUMMYFUNCTION("""COMPUTED_VALUE"""),"GSA_HCaTS@guidehouse.com")</f>
        <v>GSA_HCaTS@guidehouse.com</v>
      </c>
      <c r="F23" s="26" t="str">
        <f ca="1">IFERROR(__xludf.DUMMYFUNCTION("""COMPUTED_VALUE"""),"Benjamin Marks")</f>
        <v>Benjamin Marks</v>
      </c>
      <c r="G23" s="26" t="str">
        <f ca="1">IFERROR(__xludf.DUMMYFUNCTION("""COMPUTED_VALUE"""),"bmarks@guidehouse.com")</f>
        <v>bmarks@guidehouse.com</v>
      </c>
      <c r="H23" s="26" t="str">
        <f ca="1">IFERROR(__xludf.DUMMYFUNCTION("""COMPUTED_VALUE"""),"571-579-3156")</f>
        <v>571-579-3156</v>
      </c>
      <c r="I23" s="26" t="str">
        <f ca="1">IFERROR(__xludf.DUMMYFUNCTION("""COMPUTED_VALUE"""),"Chavaughn Stith")</f>
        <v>Chavaughn Stith</v>
      </c>
      <c r="J23" s="26" t="str">
        <f ca="1">IFERROR(__xludf.DUMMYFUNCTION("""COMPUTED_VALUE"""),"cstith@guidehouse.com")</f>
        <v>cstith@guidehouse.com</v>
      </c>
      <c r="K23" s="26" t="str">
        <f ca="1">IFERROR(__xludf.DUMMYFUNCTION("""COMPUTED_VALUE"""),"(301) 219-6990")</f>
        <v>(301) 219-6990</v>
      </c>
    </row>
    <row r="24" spans="1:11" ht="45" x14ac:dyDescent="0.25">
      <c r="A24" s="22" t="str">
        <f ca="1">IFERROR(__xludf.DUMMYFUNCTION("""COMPUTED_VALUE"""),"GS02Q16DCR0041")</f>
        <v>GS02Q16DCR0041</v>
      </c>
      <c r="B24" s="23" t="str">
        <f ca="1">IFERROR(__xludf.DUMMYFUNCTION("""COMPUTED_VALUE"""),"HII Mission Driven Innovative Solutions Inc")</f>
        <v>HII Mission Driven Innovative Solutions Inc</v>
      </c>
      <c r="C24" s="24" t="str">
        <f ca="1">IFERROR(__xludf.DUMMYFUNCTION("""COMPUTED_VALUE"""),"609570742")</f>
        <v>609570742</v>
      </c>
      <c r="D24" s="35" t="str">
        <f ca="1">IFERROR(__xludf.DUMMYFUNCTION("""COMPUTED_VALUE"""),"977 Explorer BLVD
Huntsville, Alabama
35806-2807")</f>
        <v>977 Explorer BLVD
Huntsville, Alabama
35806-2807</v>
      </c>
      <c r="E24" s="26" t="str">
        <f ca="1">IFERROR(__xludf.DUMMYFUNCTION("""COMPUTED_VALUE"""),"HCATS@hii-tsd.com")</f>
        <v>HCATS@hii-tsd.com</v>
      </c>
      <c r="F24" s="26" t="str">
        <f ca="1">IFERROR(__xludf.DUMMYFUNCTION("""COMPUTED_VALUE"""),"Craig Thomas")</f>
        <v>Craig Thomas</v>
      </c>
      <c r="G24" s="26" t="str">
        <f ca="1">IFERROR(__xludf.DUMMYFUNCTION("""COMPUTED_VALUE"""),"craig.thomas@hii-tsd.com")</f>
        <v>craig.thomas@hii-tsd.com</v>
      </c>
      <c r="H24" s="26" t="str">
        <f ca="1">IFERROR(__xludf.DUMMYFUNCTION("""COMPUTED_VALUE"""),"571-302-1661")</f>
        <v>571-302-1661</v>
      </c>
      <c r="I24" s="26" t="str">
        <f ca="1">IFERROR(__xludf.DUMMYFUNCTION("""COMPUTED_VALUE"""),"Kelly Bower")</f>
        <v>Kelly Bower</v>
      </c>
      <c r="J24" s="26" t="str">
        <f ca="1">IFERROR(__xludf.DUMMYFUNCTION("""COMPUTED_VALUE"""),"Kelly.Bower@hii-tsd.com")</f>
        <v>Kelly.Bower@hii-tsd.com</v>
      </c>
      <c r="K24" s="26" t="str">
        <f ca="1">IFERROR(__xludf.DUMMYFUNCTION("""COMPUTED_VALUE"""),"703-543-2979")</f>
        <v>703-543-2979</v>
      </c>
    </row>
    <row r="25" spans="1:11" ht="30" x14ac:dyDescent="0.25">
      <c r="A25" s="22" t="str">
        <f ca="1">IFERROR(__xludf.DUMMYFUNCTION("""COMPUTED_VALUE"""),"GS02Q16DCR0113")</f>
        <v>GS02Q16DCR0113</v>
      </c>
      <c r="B25" s="23" t="str">
        <f ca="1">IFERROR(__xludf.DUMMYFUNCTION("""COMPUTED_VALUE"""),"Human Resources Research Organization (HumRRO)")</f>
        <v>Human Resources Research Organization (HumRRO)</v>
      </c>
      <c r="C25" s="24" t="str">
        <f ca="1">IFERROR(__xludf.DUMMYFUNCTION("""COMPUTED_VALUE"""),"072631799")</f>
        <v>072631799</v>
      </c>
      <c r="D25" s="35" t="str">
        <f ca="1">IFERROR(__xludf.DUMMYFUNCTION("""COMPUTED_VALUE"""),"66 Canal Center PLZ STE 700
Alexandria, Virginia")</f>
        <v>66 Canal Center PLZ STE 700
Alexandria, Virginia</v>
      </c>
      <c r="E25" s="26" t="str">
        <f ca="1">IFERROR(__xludf.DUMMYFUNCTION("""COMPUTED_VALUE"""),"hcats@humrro.org")</f>
        <v>hcats@humrro.org</v>
      </c>
      <c r="F25" s="26" t="str">
        <f ca="1">IFERROR(__xludf.DUMMYFUNCTION("""COMPUTED_VALUE"""),"Dr. David Dorsey")</f>
        <v>Dr. David Dorsey</v>
      </c>
      <c r="G25" s="26" t="str">
        <f ca="1">IFERROR(__xludf.DUMMYFUNCTION("""COMPUTED_VALUE"""),"ddorsey@humrro.org")</f>
        <v>ddorsey@humrro.org</v>
      </c>
      <c r="H25" s="26" t="str">
        <f ca="1">IFERROR(__xludf.DUMMYFUNCTION("""COMPUTED_VALUE"""),"703-706-5670")</f>
        <v>703-706-5670</v>
      </c>
      <c r="I25" s="26" t="str">
        <f ca="1">IFERROR(__xludf.DUMMYFUNCTION("""COMPUTED_VALUE"""),"Chandra Harris")</f>
        <v>Chandra Harris</v>
      </c>
      <c r="J25" s="26" t="str">
        <f ca="1">IFERROR(__xludf.DUMMYFUNCTION("""COMPUTED_VALUE"""),"contracts@humrro.org, cdharris@humrro.org")</f>
        <v>contracts@humrro.org, cdharris@humrro.org</v>
      </c>
      <c r="K25" s="26" t="str">
        <f ca="1">IFERROR(__xludf.DUMMYFUNCTION("""COMPUTED_VALUE"""),"703-706-5685")</f>
        <v>703-706-5685</v>
      </c>
    </row>
    <row r="26" spans="1:11" ht="45" x14ac:dyDescent="0.25">
      <c r="A26" s="22" t="str">
        <f ca="1">IFERROR(__xludf.DUMMYFUNCTION("""COMPUTED_VALUE"""),"GS02Q16DCR0053")</f>
        <v>GS02Q16DCR0053</v>
      </c>
      <c r="B26" s="23" t="str">
        <f ca="1">IFERROR(__xludf.DUMMYFUNCTION("""COMPUTED_VALUE"""),"ICF Incorporated, LLC")</f>
        <v>ICF Incorporated, LLC</v>
      </c>
      <c r="C26" s="24" t="str">
        <f ca="1">IFERROR(__xludf.DUMMYFUNCTION("""COMPUTED_VALUE"""),"072648579")</f>
        <v>072648579</v>
      </c>
      <c r="D26" s="35" t="str">
        <f ca="1">IFERROR(__xludf.DUMMYFUNCTION("""COMPUTED_VALUE"""),"1902 Reston Metro Plz, Reston VA 20190
")</f>
        <v xml:space="preserve">1902 Reston Metro Plz, Reston VA 20190
</v>
      </c>
      <c r="E26" s="26" t="str">
        <f ca="1">IFERROR(__xludf.DUMMYFUNCTION("""COMPUTED_VALUE"""),"ICF-HCaTS@icf.com")</f>
        <v>ICF-HCaTS@icf.com</v>
      </c>
      <c r="F26" s="26" t="str">
        <f ca="1">IFERROR(__xludf.DUMMYFUNCTION("""COMPUTED_VALUE"""),"Brian Cronin")</f>
        <v>Brian Cronin</v>
      </c>
      <c r="G26" s="26" t="str">
        <f ca="1">IFERROR(__xludf.DUMMYFUNCTION("""COMPUTED_VALUE"""),"Brian.Cronin@icf.com")</f>
        <v>Brian.Cronin@icf.com</v>
      </c>
      <c r="H26" s="26" t="str">
        <f ca="1">IFERROR(__xludf.DUMMYFUNCTION("""COMPUTED_VALUE"""),"512-770-4866")</f>
        <v>512-770-4866</v>
      </c>
      <c r="I26" s="26" t="str">
        <f ca="1">IFERROR(__xludf.DUMMYFUNCTION("""COMPUTED_VALUE"""),"Sanjeev Hirani")</f>
        <v>Sanjeev Hirani</v>
      </c>
      <c r="J26" s="26" t="str">
        <f ca="1">IFERROR(__xludf.DUMMYFUNCTION("""COMPUTED_VALUE"""),"sanjeev.hirani@icf.com")</f>
        <v>sanjeev.hirani@icf.com</v>
      </c>
      <c r="K26" s="26" t="str">
        <f ca="1">IFERROR(__xludf.DUMMYFUNCTION("""COMPUTED_VALUE"""),"703-225-5692")</f>
        <v>703-225-5692</v>
      </c>
    </row>
    <row r="27" spans="1:11" ht="30" x14ac:dyDescent="0.25">
      <c r="A27" s="22" t="str">
        <f ca="1">IFERROR(__xludf.DUMMYFUNCTION("""COMPUTED_VALUE"""),"GS02Q16DCR0052")</f>
        <v>GS02Q16DCR0052</v>
      </c>
      <c r="B27" s="23" t="str">
        <f ca="1">IFERROR(__xludf.DUMMYFUNCTION("""COMPUTED_VALUE"""),"International Business Machines Corporation (IBM)")</f>
        <v>International Business Machines Corporation (IBM)</v>
      </c>
      <c r="C27" s="24" t="str">
        <f ca="1">IFERROR(__xludf.DUMMYFUNCTION("""COMPUTED_VALUE"""),"835130485")</f>
        <v>835130485</v>
      </c>
      <c r="D27" s="35" t="str">
        <f ca="1">IFERROR(__xludf.DUMMYFUNCTION("""COMPUTED_VALUE"""),"6710 Rockledge Drive, Bethesda, MD 20817")</f>
        <v>6710 Rockledge Drive, Bethesda, MD 20817</v>
      </c>
      <c r="E27" s="26" t="str">
        <f ca="1">IFERROR(__xludf.DUMMYFUNCTION("""COMPUTED_VALUE"""),"ibmhcats@us.ibm.com")</f>
        <v>ibmhcats@us.ibm.com</v>
      </c>
      <c r="F27" s="26" t="str">
        <f ca="1">IFERROR(__xludf.DUMMYFUNCTION("""COMPUTED_VALUE"""),"Monica Hopkins")</f>
        <v>Monica Hopkins</v>
      </c>
      <c r="G27" s="26" t="str">
        <f ca="1">IFERROR(__xludf.DUMMYFUNCTION("""COMPUTED_VALUE"""),"monica.v.hopkins@us.ibm.com")</f>
        <v>monica.v.hopkins@us.ibm.com</v>
      </c>
      <c r="H27" s="26" t="str">
        <f ca="1">IFERROR(__xludf.DUMMYFUNCTION("""COMPUTED_VALUE"""),"301-908-3664")</f>
        <v>301-908-3664</v>
      </c>
      <c r="I27" s="26" t="str">
        <f ca="1">IFERROR(__xludf.DUMMYFUNCTION("""COMPUTED_VALUE"""),"Paul Bury")</f>
        <v>Paul Bury</v>
      </c>
      <c r="J27" s="26" t="str">
        <f ca="1">IFERROR(__xludf.DUMMYFUNCTION("""COMPUTED_VALUE"""),"pbury@us.ibm.com")</f>
        <v>pbury@us.ibm.com</v>
      </c>
      <c r="K27" s="26" t="str">
        <f ca="1">IFERROR(__xludf.DUMMYFUNCTION("""COMPUTED_VALUE"""),"720-841-7984")</f>
        <v>720-841-7984</v>
      </c>
    </row>
    <row r="28" spans="1:11" ht="30" x14ac:dyDescent="0.25">
      <c r="A28" s="22" t="str">
        <f ca="1">IFERROR(__xludf.DUMMYFUNCTION("""COMPUTED_VALUE"""),"GS02Q16DCR0055")</f>
        <v>GS02Q16DCR0055</v>
      </c>
      <c r="B28" s="23" t="str">
        <f ca="1">IFERROR(__xludf.DUMMYFUNCTION("""COMPUTED_VALUE"""),"KPMG LLP DBA KPMG LLP Federal Services")</f>
        <v>KPMG LLP DBA KPMG LLP Federal Services</v>
      </c>
      <c r="C28" s="24" t="str">
        <f ca="1">IFERROR(__xludf.DUMMYFUNCTION("""COMPUTED_VALUE"""),"080298309")</f>
        <v>080298309</v>
      </c>
      <c r="D28" s="35" t="str">
        <f ca="1">IFERROR(__xludf.DUMMYFUNCTION("""COMPUTED_VALUE"""),"8350 Broad St Ste 900, McLean, VA, 22102-5150")</f>
        <v>8350 Broad St Ste 900, McLean, VA, 22102-5150</v>
      </c>
      <c r="E28" s="26" t="str">
        <f ca="1">IFERROR(__xludf.DUMMYFUNCTION("""COMPUTED_VALUE"""),"us-hcats@kpmg.com")</f>
        <v>us-hcats@kpmg.com</v>
      </c>
      <c r="F28" s="26" t="str">
        <f ca="1">IFERROR(__xludf.DUMMYFUNCTION("""COMPUTED_VALUE"""),"Robert Cojocaru")</f>
        <v>Robert Cojocaru</v>
      </c>
      <c r="G28" s="26" t="str">
        <f ca="1">IFERROR(__xludf.DUMMYFUNCTION("""COMPUTED_VALUE"""),"rcojocaru@kpmg.com, mbrooke@kpmg.com ")</f>
        <v xml:space="preserve">rcojocaru@kpmg.com, mbrooke@kpmg.com </v>
      </c>
      <c r="H28" s="26" t="str">
        <f ca="1">IFERROR(__xludf.DUMMYFUNCTION("""COMPUTED_VALUE"""),"703-286-6666, 214-534-5059")</f>
        <v>703-286-6666, 214-534-5059</v>
      </c>
      <c r="I28" s="26" t="str">
        <f ca="1">IFERROR(__xludf.DUMMYFUNCTION("""COMPUTED_VALUE"""),"Eric J. Laychock, Coleen Quintana")</f>
        <v>Eric J. Laychock, Coleen Quintana</v>
      </c>
      <c r="J28" s="26" t="str">
        <f ca="1">IFERROR(__xludf.DUMMYFUNCTION("""COMPUTED_VALUE"""),"elaychock@kpmg.com     coleenquintana@kpmg.com")</f>
        <v>elaychock@kpmg.com     coleenquintana@kpmg.com</v>
      </c>
      <c r="K28" s="26" t="str">
        <f ca="1">IFERROR(__xludf.DUMMYFUNCTION("""COMPUTED_VALUE"""),"570 640 6865 (Eric)        571-695-5246 (Coleen)")</f>
        <v>570 640 6865 (Eric)        571-695-5246 (Coleen)</v>
      </c>
    </row>
    <row r="29" spans="1:11" ht="30" x14ac:dyDescent="0.25">
      <c r="A29" s="22" t="str">
        <f ca="1">IFERROR(__xludf.DUMMYFUNCTION("""COMPUTED_VALUE"""),"GS02Q16DCR0057")</f>
        <v>GS02Q16DCR0057</v>
      </c>
      <c r="B29" s="23" t="str">
        <f ca="1">IFERROR(__xludf.DUMMYFUNCTION("""COMPUTED_VALUE"""),"Leidos, Inc")</f>
        <v>Leidos, Inc</v>
      </c>
      <c r="C29" s="24" t="str">
        <f ca="1">IFERROR(__xludf.DUMMYFUNCTION("""COMPUTED_VALUE"""),"080272604")</f>
        <v>080272604</v>
      </c>
      <c r="D29" s="35" t="str">
        <f ca="1">IFERROR(__xludf.DUMMYFUNCTION("""COMPUTED_VALUE"""),"9737 Washingtonian Blvd
Gaithersburg, MD, 20878-7337")</f>
        <v>9737 Washingtonian Blvd
Gaithersburg, MD, 20878-7337</v>
      </c>
      <c r="E29" s="26" t="str">
        <f ca="1">IFERROR(__xludf.DUMMYFUNCTION("""COMPUTED_VALUE"""),"HCaTS-PMO@leidos.com")</f>
        <v>HCaTS-PMO@leidos.com</v>
      </c>
      <c r="F29" s="26" t="str">
        <f ca="1">IFERROR(__xludf.DUMMYFUNCTION("""COMPUTED_VALUE"""),"Kathleen Ott")</f>
        <v>Kathleen Ott</v>
      </c>
      <c r="G29" s="26" t="str">
        <f ca="1">IFERROR(__xludf.DUMMYFUNCTION("""COMPUTED_VALUE"""),"kathleen.a.ott@leidos.com")</f>
        <v>kathleen.a.ott@leidos.com</v>
      </c>
      <c r="H29" s="26" t="str">
        <f ca="1">IFERROR(__xludf.DUMMYFUNCTION("""COMPUTED_VALUE"""),"571-421-5761")</f>
        <v>571-421-5761</v>
      </c>
      <c r="I29" s="26" t="str">
        <f ca="1">IFERROR(__xludf.DUMMYFUNCTION("""COMPUTED_VALUE"""),"Barbara Koenig")</f>
        <v>Barbara Koenig</v>
      </c>
      <c r="J29" s="26" t="str">
        <f ca="1">IFERROR(__xludf.DUMMYFUNCTION("""COMPUTED_VALUE"""),"barbara.koenig@leidos.com")</f>
        <v>barbara.koenig@leidos.com</v>
      </c>
      <c r="K29" s="26" t="str">
        <f ca="1">IFERROR(__xludf.DUMMYFUNCTION("""COMPUTED_VALUE"""),"301-253-9447")</f>
        <v>301-253-9447</v>
      </c>
    </row>
    <row r="30" spans="1:11" ht="30" x14ac:dyDescent="0.25">
      <c r="A30" s="22" t="str">
        <f ca="1">IFERROR(__xludf.DUMMYFUNCTION("""COMPUTED_VALUE"""),"GS02Q16DCR0056")</f>
        <v>GS02Q16DCR0056</v>
      </c>
      <c r="B30" s="23" t="str">
        <f ca="1">IFERROR(__xludf.DUMMYFUNCTION("""COMPUTED_VALUE"""),"LMI Consulting, LLC ")</f>
        <v xml:space="preserve">LMI Consulting, LLC </v>
      </c>
      <c r="C30" s="24" t="str">
        <f ca="1">IFERROR(__xludf.DUMMYFUNCTION("""COMPUTED_VALUE"""),"117404874")</f>
        <v>117404874</v>
      </c>
      <c r="D30" s="35" t="str">
        <f ca="1">IFERROR(__xludf.DUMMYFUNCTION("""COMPUTED_VALUE"""),"7940 Jones Branch Drive, McLean, VA, 22102-3381")</f>
        <v>7940 Jones Branch Drive, McLean, VA, 22102-3381</v>
      </c>
      <c r="E30" s="26" t="str">
        <f ca="1">IFERROR(__xludf.DUMMYFUNCTION("""COMPUTED_VALUE"""),"LMIHCaTS@lmi.org")</f>
        <v>LMIHCaTS@lmi.org</v>
      </c>
      <c r="F30" s="26" t="str">
        <f ca="1">IFERROR(__xludf.DUMMYFUNCTION("""COMPUTED_VALUE"""),"Mike Flanagan")</f>
        <v>Mike Flanagan</v>
      </c>
      <c r="G30" s="26" t="str">
        <f ca="1">IFERROR(__xludf.DUMMYFUNCTION("""COMPUTED_VALUE"""),"mflanagan@lmi.org")</f>
        <v>mflanagan@lmi.org</v>
      </c>
      <c r="H30" s="26" t="str">
        <f ca="1">IFERROR(__xludf.DUMMYFUNCTION("""COMPUTED_VALUE"""),"(804) 451-2126")</f>
        <v>(804) 451-2126</v>
      </c>
      <c r="I30" s="26" t="str">
        <f ca="1">IFERROR(__xludf.DUMMYFUNCTION("""COMPUTED_VALUE"""),"Susan Ford")</f>
        <v>Susan Ford</v>
      </c>
      <c r="J30" s="26" t="str">
        <f ca="1">IFERROR(__xludf.DUMMYFUNCTION("""COMPUTED_VALUE"""),"sford@lmi.org")</f>
        <v>sford@lmi.org</v>
      </c>
      <c r="K30" s="26" t="str">
        <f ca="1">IFERROR(__xludf.DUMMYFUNCTION("""COMPUTED_VALUE"""),"(703) 917-7524")</f>
        <v>(703) 917-7524</v>
      </c>
    </row>
    <row r="31" spans="1:11" ht="30" x14ac:dyDescent="0.25">
      <c r="A31" s="22" t="str">
        <f ca="1">IFERROR(__xludf.DUMMYFUNCTION("""COMPUTED_VALUE"""),"GS02Q16DCR0058")</f>
        <v>GS02Q16DCR0058</v>
      </c>
      <c r="B31" s="23" t="str">
        <f ca="1">IFERROR(__xludf.DUMMYFUNCTION("""COMPUTED_VALUE"""),"Management Concepts, Inc")</f>
        <v>Management Concepts, Inc</v>
      </c>
      <c r="C31" s="24" t="str">
        <f ca="1">IFERROR(__xludf.DUMMYFUNCTION("""COMPUTED_VALUE"""),"082355652")</f>
        <v>082355652</v>
      </c>
      <c r="D31" s="35" t="str">
        <f ca="1">IFERROR(__xludf.DUMMYFUNCTION("""COMPUTED_VALUE"""),"8230 Leesburg Pike, Suite 800, Tysons Corner, VA 22182-2641")</f>
        <v>8230 Leesburg Pike, Suite 800, Tysons Corner, VA 22182-2641</v>
      </c>
      <c r="E31" s="26" t="str">
        <f ca="1">IFERROR(__xludf.DUMMYFUNCTION("""COMPUTED_VALUE"""),"kfurlong@managementconcepts.com")</f>
        <v>kfurlong@managementconcepts.com</v>
      </c>
      <c r="F31" s="26" t="str">
        <f ca="1">IFERROR(__xludf.DUMMYFUNCTION("""COMPUTED_VALUE"""),"Kathy Furlong")</f>
        <v>Kathy Furlong</v>
      </c>
      <c r="G31" s="26" t="str">
        <f ca="1">IFERROR(__xludf.DUMMYFUNCTION("""COMPUTED_VALUE"""),"kfurlong@managementconcepts.com, ssimpson@managementconcepts.com")</f>
        <v>kfurlong@managementconcepts.com, ssimpson@managementconcepts.com</v>
      </c>
      <c r="H31" s="26" t="str">
        <f ca="1">IFERROR(__xludf.DUMMYFUNCTION("""COMPUTED_VALUE"""),"703-270-4172")</f>
        <v>703-270-4172</v>
      </c>
      <c r="I31" s="26" t="str">
        <f ca="1">IFERROR(__xludf.DUMMYFUNCTION("""COMPUTED_VALUE"""),"Rosanna Dombrowski")</f>
        <v>Rosanna Dombrowski</v>
      </c>
      <c r="J31" s="26" t="str">
        <f ca="1">IFERROR(__xludf.DUMMYFUNCTION("""COMPUTED_VALUE"""),"RDombrowski@ManagementConcepts.com")</f>
        <v>RDombrowski@ManagementConcepts.com</v>
      </c>
      <c r="K31" s="26" t="str">
        <f ca="1">IFERROR(__xludf.DUMMYFUNCTION("""COMPUTED_VALUE"""),"703-270-4043")</f>
        <v>703-270-4043</v>
      </c>
    </row>
    <row r="32" spans="1:11" ht="30" x14ac:dyDescent="0.25">
      <c r="A32" s="22" t="str">
        <f ca="1">IFERROR(__xludf.DUMMYFUNCTION("""COMPUTED_VALUE"""),"GS02Q16DCR0059")</f>
        <v>GS02Q16DCR0059</v>
      </c>
      <c r="B32" s="23" t="str">
        <f ca="1">IFERROR(__xludf.DUMMYFUNCTION("""COMPUTED_VALUE"""),"Micro Systems Consultants, Inc")</f>
        <v>Micro Systems Consultants, Inc</v>
      </c>
      <c r="C32" s="24" t="str">
        <f ca="1">IFERROR(__xludf.DUMMYFUNCTION("""COMPUTED_VALUE"""),"608740957")</f>
        <v>608740957</v>
      </c>
      <c r="D32" s="35" t="str">
        <f ca="1">IFERROR(__xludf.DUMMYFUNCTION("""COMPUTED_VALUE"""),"2785 Hartland Rd, Falls Church VA 22043-3529")</f>
        <v>2785 Hartland Rd, Falls Church VA 22043-3529</v>
      </c>
      <c r="E32" s="26" t="str">
        <f ca="1">IFERROR(__xludf.DUMMYFUNCTION("""COMPUTED_VALUE"""),"pnagrod@msag.net")</f>
        <v>pnagrod@msag.net</v>
      </c>
      <c r="F32" s="26" t="str">
        <f ca="1">IFERROR(__xludf.DUMMYFUNCTION("""COMPUTED_VALUE"""),"Peter Nagrod")</f>
        <v>Peter Nagrod</v>
      </c>
      <c r="G32" s="26" t="str">
        <f ca="1">IFERROR(__xludf.DUMMYFUNCTION("""COMPUTED_VALUE"""),"pnagrod@msag.net")</f>
        <v>pnagrod@msag.net</v>
      </c>
      <c r="H32" s="26" t="str">
        <f ca="1">IFERROR(__xludf.DUMMYFUNCTION("""COMPUTED_VALUE"""),"703-538-0807")</f>
        <v>703-538-0807</v>
      </c>
      <c r="I32" s="26"/>
      <c r="J32" s="26"/>
      <c r="K32" s="26"/>
    </row>
    <row r="33" spans="1:11" ht="30" x14ac:dyDescent="0.25">
      <c r="A33" s="22" t="str">
        <f ca="1">IFERROR(__xludf.DUMMYFUNCTION("""COMPUTED_VALUE"""),"GS02Q16DCR0060")</f>
        <v>GS02Q16DCR0060</v>
      </c>
      <c r="B33" s="23" t="str">
        <f ca="1">IFERROR(__xludf.DUMMYFUNCTION("""COMPUTED_VALUE"""),"Monster Government Solutions, LLC")</f>
        <v>Monster Government Solutions, LLC</v>
      </c>
      <c r="C33" s="24" t="str">
        <f ca="1">IFERROR(__xludf.DUMMYFUNCTION("""COMPUTED_VALUE"""),"128844854")</f>
        <v>128844854</v>
      </c>
      <c r="D33" s="35" t="str">
        <f ca="1">IFERROR(__xludf.DUMMYFUNCTION("""COMPUTED_VALUE"""),"133 Boston Post Road, Weston, Massachusetts  02493-2525")</f>
        <v>133 Boston Post Road, Weston, Massachusetts  02493-2525</v>
      </c>
      <c r="E33" s="26" t="str">
        <f ca="1">IFERROR(__xludf.DUMMYFUNCTION("""COMPUTED_VALUE"""),"hcats@monster.com")</f>
        <v>hcats@monster.com</v>
      </c>
      <c r="F33" s="26" t="str">
        <f ca="1">IFERROR(__xludf.DUMMYFUNCTION("""COMPUTED_VALUE"""),"Ron Harrell")</f>
        <v>Ron Harrell</v>
      </c>
      <c r="G33" s="26" t="str">
        <f ca="1">IFERROR(__xludf.DUMMYFUNCTION("""COMPUTED_VALUE"""),"Ronald.Harrell@monster.com")</f>
        <v>Ronald.Harrell@monster.com</v>
      </c>
      <c r="H33" s="26" t="str">
        <f ca="1">IFERROR(__xludf.DUMMYFUNCTION("""COMPUTED_VALUE"""),"703-270-7202")</f>
        <v>703-270-7202</v>
      </c>
      <c r="I33" s="26" t="str">
        <f ca="1">IFERROR(__xludf.DUMMYFUNCTION("""COMPUTED_VALUE"""),"Maria Maze")</f>
        <v>Maria Maze</v>
      </c>
      <c r="J33" s="26" t="str">
        <f ca="1">IFERROR(__xludf.DUMMYFUNCTION("""COMPUTED_VALUE"""),"Maria.maze@monster.com")</f>
        <v>Maria.maze@monster.com</v>
      </c>
      <c r="K33" s="26" t="str">
        <f ca="1">IFERROR(__xludf.DUMMYFUNCTION("""COMPUTED_VALUE"""),"703-270-7224")</f>
        <v>703-270-7224</v>
      </c>
    </row>
    <row r="34" spans="1:11" ht="30" x14ac:dyDescent="0.25">
      <c r="A34" s="22" t="str">
        <f ca="1">IFERROR(__xludf.DUMMYFUNCTION("""COMPUTED_VALUE"""),"GS02Q16DCR0044")</f>
        <v>GS02Q16DCR0044</v>
      </c>
      <c r="B34" s="23" t="str">
        <f ca="1">IFERROR(__xludf.DUMMYFUNCTION("""COMPUTED_VALUE"""),"Panum Telecom, LLC")</f>
        <v>Panum Telecom, LLC</v>
      </c>
      <c r="C34" s="24" t="str">
        <f ca="1">IFERROR(__xludf.DUMMYFUNCTION("""COMPUTED_VALUE"""),"017433348")</f>
        <v>017433348</v>
      </c>
      <c r="D34" s="35" t="str">
        <f ca="1">IFERROR(__xludf.DUMMYFUNCTION("""COMPUTED_VALUE"""),"7315 Wisconsin Ave Ste 800 W, Bethesda, MD, 20814-3202")</f>
        <v>7315 Wisconsin Ave Ste 800 W, Bethesda, MD, 20814-3202</v>
      </c>
      <c r="E34" s="26" t="str">
        <f ca="1">IFERROR(__xludf.DUMMYFUNCTION("""COMPUTED_VALUE"""),"ppalmer@panum.com")</f>
        <v>ppalmer@panum.com</v>
      </c>
      <c r="F34" s="26" t="str">
        <f ca="1">IFERROR(__xludf.DUMMYFUNCTION("""COMPUTED_VALUE"""),"Suresh Gulati")</f>
        <v>Suresh Gulati</v>
      </c>
      <c r="G34" s="26" t="str">
        <f ca="1">IFERROR(__xludf.DUMMYFUNCTION("""COMPUTED_VALUE"""),"sgulati@aretum.com")</f>
        <v>sgulati@aretum.com</v>
      </c>
      <c r="H34" s="26" t="str">
        <f ca="1">IFERROR(__xludf.DUMMYFUNCTION("""COMPUTED_VALUE"""),"571-332-6782")</f>
        <v>571-332-6782</v>
      </c>
      <c r="I34" s="26" t="str">
        <f ca="1">IFERROR(__xludf.DUMMYFUNCTION("""COMPUTED_VALUE"""),"Kathie Johnson")</f>
        <v>Kathie Johnson</v>
      </c>
      <c r="J34" s="26" t="str">
        <f ca="1">IFERROR(__xludf.DUMMYFUNCTION("""COMPUTED_VALUE"""),"Kathie.johnson@aretum.com")</f>
        <v>Kathie.johnson@aretum.com</v>
      </c>
      <c r="K34" s="26" t="str">
        <f ca="1">IFERROR(__xludf.DUMMYFUNCTION("""COMPUTED_VALUE"""),"770-570-2633")</f>
        <v>770-570-2633</v>
      </c>
    </row>
    <row r="35" spans="1:11" ht="45" x14ac:dyDescent="0.25">
      <c r="A35" s="22" t="str">
        <f ca="1">IFERROR(__xludf.DUMMYFUNCTION("""COMPUTED_VALUE"""),"GS02Q16DCR0061")</f>
        <v>GS02Q16DCR0061</v>
      </c>
      <c r="B35" s="23" t="str">
        <f ca="1">IFERROR(__xludf.DUMMYFUNCTION("""COMPUTED_VALUE"""),"Personnel Decisions Research Institutes, LLC (PDRI)")</f>
        <v>Personnel Decisions Research Institutes, LLC (PDRI)</v>
      </c>
      <c r="C35" s="24" t="str">
        <f ca="1">IFERROR(__xludf.DUMMYFUNCTION("""COMPUTED_VALUE"""),"037335296")</f>
        <v>037335296</v>
      </c>
      <c r="D35" s="35" t="str">
        <f ca="1">IFERROR(__xludf.DUMMYFUNCTION("""COMPUTED_VALUE"""),"111 Washington Avenue South, Suite 600
Minneapolis, MN, 55401-2399")</f>
        <v>111 Washington Avenue South, Suite 600
Minneapolis, MN, 55401-2399</v>
      </c>
      <c r="E35" s="26" t="str">
        <f ca="1">IFERROR(__xludf.DUMMYFUNCTION("""COMPUTED_VALUE"""),"gary.carter@pdri.com")</f>
        <v>gary.carter@pdri.com</v>
      </c>
      <c r="F35" s="26" t="str">
        <f ca="1">IFERROR(__xludf.DUMMYFUNCTION("""COMPUTED_VALUE"""),"Ryan S. O'Leary")</f>
        <v>Ryan S. O'Leary</v>
      </c>
      <c r="G35" s="26" t="str">
        <f ca="1">IFERROR(__xludf.DUMMYFUNCTION("""COMPUTED_VALUE"""),"ryan.oleary@pdri.com")</f>
        <v>ryan.oleary@pdri.com</v>
      </c>
      <c r="H35" s="26" t="str">
        <f ca="1">IFERROR(__xludf.DUMMYFUNCTION("""COMPUTED_VALUE"""),"202-321-1204")</f>
        <v>202-321-1204</v>
      </c>
      <c r="I35" s="26"/>
      <c r="J35" s="26"/>
      <c r="K35" s="26"/>
    </row>
    <row r="36" spans="1:11" ht="30" x14ac:dyDescent="0.25">
      <c r="A36" s="22" t="str">
        <f ca="1">IFERROR(__xludf.DUMMYFUNCTION("""COMPUTED_VALUE"""),"GS02Q16DCR0062")</f>
        <v>GS02Q16DCR0062</v>
      </c>
      <c r="B36" s="23" t="str">
        <f ca="1">IFERROR(__xludf.DUMMYFUNCTION("""COMPUTED_VALUE"""),"Piton Science &amp; Technology LLC")</f>
        <v>Piton Science &amp; Technology LLC</v>
      </c>
      <c r="C36" s="24" t="str">
        <f ca="1">IFERROR(__xludf.DUMMYFUNCTION("""COMPUTED_VALUE"""),"786931050")</f>
        <v>786931050</v>
      </c>
      <c r="D36" s="35" t="str">
        <f ca="1">IFERROR(__xludf.DUMMYFUNCTION("""COMPUTED_VALUE"""),"2696 Linda Marie Drive, Oakton, VA 22124-1111")</f>
        <v>2696 Linda Marie Drive, Oakton, VA 22124-1111</v>
      </c>
      <c r="E36" s="26" t="str">
        <f ca="1">IFERROR(__xludf.DUMMYFUNCTION("""COMPUTED_VALUE"""),"UHCATS@pitonscience.com")</f>
        <v>UHCATS@pitonscience.com</v>
      </c>
      <c r="F36" s="26" t="str">
        <f ca="1">IFERROR(__xludf.DUMMYFUNCTION("""COMPUTED_VALUE"""),"William S. Murphy Jr.")</f>
        <v>William S. Murphy Jr.</v>
      </c>
      <c r="G36" s="26" t="str">
        <f ca="1">IFERROR(__xludf.DUMMYFUNCTION("""COMPUTED_VALUE"""),"murphyw@pitonscience.com")</f>
        <v>murphyw@pitonscience.com</v>
      </c>
      <c r="H36" s="26" t="str">
        <f ca="1">IFERROR(__xludf.DUMMYFUNCTION("""COMPUTED_VALUE"""),"703-349-3879")</f>
        <v>703-349-3879</v>
      </c>
      <c r="I36" s="26" t="str">
        <f ca="1">IFERROR(__xludf.DUMMYFUNCTION("""COMPUTED_VALUE"""),"Charles Pate")</f>
        <v>Charles Pate</v>
      </c>
      <c r="J36" s="26" t="str">
        <f ca="1">IFERROR(__xludf.DUMMYFUNCTION("""COMPUTED_VALUE"""),"patec@pitonscience.com")</f>
        <v>patec@pitonscience.com</v>
      </c>
      <c r="K36" s="26" t="str">
        <f ca="1">IFERROR(__xludf.DUMMYFUNCTION("""COMPUTED_VALUE"""),"703-309-6922")</f>
        <v>703-309-6922</v>
      </c>
    </row>
    <row r="37" spans="1:11" ht="30" x14ac:dyDescent="0.25">
      <c r="A37" s="22" t="str">
        <f ca="1">IFERROR(__xludf.DUMMYFUNCTION("""COMPUTED_VALUE"""),"GS02Q16DCR0063")</f>
        <v>GS02Q16DCR0063</v>
      </c>
      <c r="B37" s="23" t="str">
        <f ca="1">IFERROR(__xludf.DUMMYFUNCTION("""COMPUTED_VALUE"""),"PowerTrain, Inc")</f>
        <v>PowerTrain, Inc</v>
      </c>
      <c r="C37" s="24" t="str">
        <f ca="1">IFERROR(__xludf.DUMMYFUNCTION("""COMPUTED_VALUE"""),"837788223")</f>
        <v>837788223</v>
      </c>
      <c r="D37" s="35" t="str">
        <f ca="1">IFERROR(__xludf.DUMMYFUNCTION("""COMPUTED_VALUE"""),"8201 Corporate Drive, Suite 580, Landover MD 20785-2230")</f>
        <v>8201 Corporate Drive, Suite 580, Landover MD 20785-2230</v>
      </c>
      <c r="E37" s="26" t="str">
        <f ca="1">IFERROR(__xludf.DUMMYFUNCTION("""COMPUTED_VALUE"""),"hcats@powertrain.com")</f>
        <v>hcats@powertrain.com</v>
      </c>
      <c r="F37" s="26" t="str">
        <f ca="1">IFERROR(__xludf.DUMMYFUNCTION("""COMPUTED_VALUE"""),"Cathy Frederick-Bittner")</f>
        <v>Cathy Frederick-Bittner</v>
      </c>
      <c r="G37" s="26" t="str">
        <f ca="1">IFERROR(__xludf.DUMMYFUNCTION("""COMPUTED_VALUE"""),"cfrederick-bittner@powertrain.com")</f>
        <v>cfrederick-bittner@powertrain.com</v>
      </c>
      <c r="H37" s="26" t="str">
        <f ca="1">IFERROR(__xludf.DUMMYFUNCTION("""COMPUTED_VALUE"""),"443-745-5877")</f>
        <v>443-745-5877</v>
      </c>
      <c r="I37" s="26" t="str">
        <f ca="1">IFERROR(__xludf.DUMMYFUNCTION("""COMPUTED_VALUE"""),"Lisa Cox")</f>
        <v>Lisa Cox</v>
      </c>
      <c r="J37" s="26" t="str">
        <f ca="1">IFERROR(__xludf.DUMMYFUNCTION("""COMPUTED_VALUE"""),"lisa.cox@powertrain.com")</f>
        <v>lisa.cox@powertrain.com</v>
      </c>
      <c r="K37" s="26" t="str">
        <f ca="1">IFERROR(__xludf.DUMMYFUNCTION("""COMPUTED_VALUE"""),"443-995-1128")</f>
        <v>443-995-1128</v>
      </c>
    </row>
    <row r="38" spans="1:11" ht="30" x14ac:dyDescent="0.25">
      <c r="A38" s="22" t="str">
        <f ca="1">IFERROR(__xludf.DUMMYFUNCTION("""COMPUTED_VALUE"""),"47QREB22D0011")</f>
        <v>47QREB22D0011</v>
      </c>
      <c r="B38" s="23" t="str">
        <f ca="1">IFERROR(__xludf.DUMMYFUNCTION("""COMPUTED_VALUE"""),"Rigil Corporation")</f>
        <v>Rigil Corporation</v>
      </c>
      <c r="C38" s="24" t="str">
        <f ca="1">IFERROR(__xludf.DUMMYFUNCTION("""COMPUTED_VALUE"""),"786713599")</f>
        <v>786713599</v>
      </c>
      <c r="D38" s="35" t="str">
        <f ca="1">IFERROR(__xludf.DUMMYFUNCTION("""COMPUTED_VALUE"""),"4800 Westfields Blvd, Suite 120, Chantilly, VA 20151")</f>
        <v>4800 Westfields Blvd, Suite 120, Chantilly, VA 20151</v>
      </c>
      <c r="E38" s="26" t="str">
        <f ca="1">IFERROR(__xludf.DUMMYFUNCTION("""COMPUTED_VALUE"""),"hcats@rigil.com")</f>
        <v>hcats@rigil.com</v>
      </c>
      <c r="F38" s="26" t="str">
        <f ca="1">IFERROR(__xludf.DUMMYFUNCTION("""COMPUTED_VALUE"""),"Pankaj Sharma")</f>
        <v>Pankaj Sharma</v>
      </c>
      <c r="G38" s="26" t="str">
        <f ca="1">IFERROR(__xludf.DUMMYFUNCTION("""COMPUTED_VALUE"""),"pankaj@rigil.com")</f>
        <v>pankaj@rigil.com</v>
      </c>
      <c r="H38" s="26" t="str">
        <f ca="1">IFERROR(__xludf.DUMMYFUNCTION("""COMPUTED_VALUE"""),"571-216-8682")</f>
        <v>571-216-8682</v>
      </c>
      <c r="I38" s="26" t="str">
        <f ca="1">IFERROR(__xludf.DUMMYFUNCTION("""COMPUTED_VALUE"""),"Sonia Sharma")</f>
        <v>Sonia Sharma</v>
      </c>
      <c r="J38" s="26" t="str">
        <f ca="1">IFERROR(__xludf.DUMMYFUNCTION("""COMPUTED_VALUE"""),"sonia@rigil.com")</f>
        <v>sonia@rigil.com</v>
      </c>
      <c r="K38" s="26" t="str">
        <f ca="1">IFERROR(__xludf.DUMMYFUNCTION("""COMPUTED_VALUE"""),"571-418-9032")</f>
        <v>571-418-9032</v>
      </c>
    </row>
    <row r="39" spans="1:11" ht="30" x14ac:dyDescent="0.25">
      <c r="A39" s="22" t="str">
        <f ca="1">IFERROR(__xludf.DUMMYFUNCTION("""COMPUTED_VALUE"""),"GS02Q16DCR0065")</f>
        <v>GS02Q16DCR0065</v>
      </c>
      <c r="B39" s="23" t="str">
        <f ca="1">IFERROR(__xludf.DUMMYFUNCTION("""COMPUTED_VALUE"""),"Science Applications International Corporation (SAIC)")</f>
        <v>Science Applications International Corporation (SAIC)</v>
      </c>
      <c r="C39" s="24" t="str">
        <f ca="1">IFERROR(__xludf.DUMMYFUNCTION("""COMPUTED_VALUE"""),"078883327")</f>
        <v>078883327</v>
      </c>
      <c r="D39" s="35" t="str">
        <f ca="1">IFERROR(__xludf.DUMMYFUNCTION("""COMPUTED_VALUE"""),"12010 Sunset Hills Road, Reston, VA 20190-5856")</f>
        <v>12010 Sunset Hills Road, Reston, VA 20190-5856</v>
      </c>
      <c r="E39" s="26" t="str">
        <f ca="1">IFERROR(__xludf.DUMMYFUNCTION("""COMPUTED_VALUE"""),"HCaTS@saic.com")</f>
        <v>HCaTS@saic.com</v>
      </c>
      <c r="F39" s="26" t="str">
        <f ca="1">IFERROR(__xludf.DUMMYFUNCTION("""COMPUTED_VALUE"""),"Sarah Rootes")</f>
        <v>Sarah Rootes</v>
      </c>
      <c r="G39" s="26" t="str">
        <f ca="1">IFERROR(__xludf.DUMMYFUNCTION("""COMPUTED_VALUE"""),"Sarah Rootes.")</f>
        <v>Sarah Rootes.</v>
      </c>
      <c r="H39" s="26" t="str">
        <f ca="1">IFERROR(__xludf.DUMMYFUNCTION("""COMPUTED_VALUE"""),"703-676-7988.")</f>
        <v>703-676-7988.</v>
      </c>
      <c r="I39" s="26" t="str">
        <f ca="1">IFERROR(__xludf.DUMMYFUNCTION("""COMPUTED_VALUE"""),"Timothy E. Bodnar, Jr.")</f>
        <v>Timothy E. Bodnar, Jr.</v>
      </c>
      <c r="J39" s="26" t="str">
        <f ca="1">IFERROR(__xludf.DUMMYFUNCTION("""COMPUTED_VALUE"""),"timothy.e.bodnar.jr@saic.com")</f>
        <v>timothy.e.bodnar.jr@saic.com</v>
      </c>
      <c r="K39" s="26" t="str">
        <f ca="1">IFERROR(__xludf.DUMMYFUNCTION("""COMPUTED_VALUE"""),"301-401-3440")</f>
        <v>301-401-3440</v>
      </c>
    </row>
    <row r="40" spans="1:11" ht="30" x14ac:dyDescent="0.25">
      <c r="A40" s="22" t="str">
        <f ca="1">IFERROR(__xludf.DUMMYFUNCTION("""COMPUTED_VALUE"""),"GS02Q16DCR0066")</f>
        <v>GS02Q16DCR0066</v>
      </c>
      <c r="B40" s="23" t="str">
        <f ca="1">IFERROR(__xludf.DUMMYFUNCTION("""COMPUTED_VALUE"""),"Serco Inc")</f>
        <v>Serco Inc</v>
      </c>
      <c r="C40" s="24" t="str">
        <f ca="1">IFERROR(__xludf.DUMMYFUNCTION("""COMPUTED_VALUE"""),"928859149")</f>
        <v>928859149</v>
      </c>
      <c r="D40" s="35" t="str">
        <f ca="1">IFERROR(__xludf.DUMMYFUNCTION("""COMPUTED_VALUE"""),"12930 Worldgate Drive, Suite 600, Herndon, Virginia 20170")</f>
        <v>12930 Worldgate Drive, Suite 600, Herndon, Virginia 20170</v>
      </c>
      <c r="E40" s="26" t="str">
        <f ca="1">IFERROR(__xludf.DUMMYFUNCTION("""COMPUTED_VALUE"""),"HCATS@SERCO-NA.COM")</f>
        <v>HCATS@SERCO-NA.COM</v>
      </c>
      <c r="F40" s="26" t="str">
        <f ca="1">IFERROR(__xludf.DUMMYFUNCTION("""COMPUTED_VALUE"""),"Diana Platt")</f>
        <v>Diana Platt</v>
      </c>
      <c r="G40" s="26" t="str">
        <f ca="1">IFERROR(__xludf.DUMMYFUNCTION("""COMPUTED_VALUE"""),"Diana.Platt@Serco-na.com")</f>
        <v>Diana.Platt@Serco-na.com</v>
      </c>
      <c r="H40" s="26" t="str">
        <f ca="1">IFERROR(__xludf.DUMMYFUNCTION("""COMPUTED_VALUE"""),"703-263-6146")</f>
        <v>703-263-6146</v>
      </c>
      <c r="I40" s="26" t="str">
        <f ca="1">IFERROR(__xludf.DUMMYFUNCTION("""COMPUTED_VALUE"""),"Sharon Tran")</f>
        <v>Sharon Tran</v>
      </c>
      <c r="J40" s="26" t="str">
        <f ca="1">IFERROR(__xludf.DUMMYFUNCTION("""COMPUTED_VALUE"""),"Sharon.Tran@serco-na.com")</f>
        <v>Sharon.Tran@serco-na.com</v>
      </c>
      <c r="K40" s="26" t="str">
        <f ca="1">IFERROR(__xludf.DUMMYFUNCTION("""COMPUTED_VALUE"""),"703-263-6528")</f>
        <v>703-263-6528</v>
      </c>
    </row>
    <row r="41" spans="1:11" ht="30" x14ac:dyDescent="0.25">
      <c r="A41" s="22" t="str">
        <f ca="1">IFERROR(__xludf.DUMMYFUNCTION("""COMPUTED_VALUE"""),"GS02Q16DCR0067")</f>
        <v>GS02Q16DCR0067</v>
      </c>
      <c r="B41" s="23" t="str">
        <f ca="1">IFERROR(__xludf.DUMMYFUNCTION("""COMPUTED_VALUE"""),"Sigmatech, Inc")</f>
        <v>Sigmatech, Inc</v>
      </c>
      <c r="C41" s="24" t="str">
        <f ca="1">IFERROR(__xludf.DUMMYFUNCTION("""COMPUTED_VALUE"""),"193460839")</f>
        <v>193460839</v>
      </c>
      <c r="D41" s="35" t="str">
        <f ca="1">IFERROR(__xludf.DUMMYFUNCTION("""COMPUTED_VALUE"""),"631 Discovery Dr NW
Huntsville, AL 35806-2801")</f>
        <v>631 Discovery Dr NW
Huntsville, AL 35806-2801</v>
      </c>
      <c r="E41" s="26" t="str">
        <f ca="1">IFERROR(__xludf.DUMMYFUNCTION("""COMPUTED_VALUE"""),"brian.simmons@sigmatech.com")</f>
        <v>brian.simmons@sigmatech.com</v>
      </c>
      <c r="F41" s="26" t="str">
        <f ca="1">IFERROR(__xludf.DUMMYFUNCTION("""COMPUTED_VALUE"""),"Dave Deist  ")</f>
        <v xml:space="preserve">Dave Deist  </v>
      </c>
      <c r="G41" s="26" t="str">
        <f ca="1">IFERROR(__xludf.DUMMYFUNCTION("""COMPUTED_VALUE"""),"dave.deist@sigmatech.com ")</f>
        <v xml:space="preserve">dave.deist@sigmatech.com </v>
      </c>
      <c r="H41" s="26" t="str">
        <f ca="1">IFERROR(__xludf.DUMMYFUNCTION("""COMPUTED_VALUE"""),"719-556-3918")</f>
        <v>719-556-3918</v>
      </c>
      <c r="I41" s="26" t="str">
        <f ca="1">IFERROR(__xludf.DUMMYFUNCTION("""COMPUTED_VALUE"""),"Lisa Willett")</f>
        <v>Lisa Willett</v>
      </c>
      <c r="J41" s="26" t="str">
        <f ca="1">IFERROR(__xludf.DUMMYFUNCTION("""COMPUTED_VALUE"""),"Lisa.Willett@sigmatech.com")</f>
        <v>Lisa.Willett@sigmatech.com</v>
      </c>
      <c r="K41" s="26" t="str">
        <f ca="1">IFERROR(__xludf.DUMMYFUNCTION("""COMPUTED_VALUE"""),"256-319-9212 ")</f>
        <v xml:space="preserve">256-319-9212 </v>
      </c>
    </row>
    <row r="42" spans="1:11" ht="30" x14ac:dyDescent="0.25">
      <c r="A42" s="22" t="str">
        <f ca="1">IFERROR(__xludf.DUMMYFUNCTION("""COMPUTED_VALUE"""),"GS02Q16DCR0068")</f>
        <v>GS02Q16DCR0068</v>
      </c>
      <c r="B42" s="23" t="str">
        <f ca="1">IFERROR(__xludf.DUMMYFUNCTION("""COMPUTED_VALUE"""),"SRA International, Inc")</f>
        <v>SRA International, Inc</v>
      </c>
      <c r="C42" s="24" t="str">
        <f ca="1">IFERROR(__xludf.DUMMYFUNCTION("""COMPUTED_VALUE"""),"097779698")</f>
        <v>097779698</v>
      </c>
      <c r="D42" s="35" t="str">
        <f ca="1">IFERROR(__xludf.DUMMYFUNCTION("""COMPUTED_VALUE"""),"15036 Conference Center Drive, Chantilly, VA 20151")</f>
        <v>15036 Conference Center Drive, Chantilly, VA 20151</v>
      </c>
      <c r="E42" s="26" t="str">
        <f ca="1">IFERROR(__xludf.DUMMYFUNCTION("""COMPUTED_VALUE"""),"HCATS@csra.com")</f>
        <v>HCATS@csra.com</v>
      </c>
      <c r="F42" s="26" t="str">
        <f ca="1">IFERROR(__xludf.DUMMYFUNCTION("""COMPUTED_VALUE"""),"Karen Popular-Lawhorn")</f>
        <v>Karen Popular-Lawhorn</v>
      </c>
      <c r="G42" s="26" t="str">
        <f ca="1">IFERROR(__xludf.DUMMYFUNCTION("""COMPUTED_VALUE"""),"karen.popular-lawhorn@csra.com")</f>
        <v>karen.popular-lawhorn@csra.com</v>
      </c>
      <c r="H42" s="26" t="str">
        <f ca="1">IFERROR(__xludf.DUMMYFUNCTION("""COMPUTED_VALUE"""),"703-284-6969")</f>
        <v>703-284-6969</v>
      </c>
      <c r="I42" s="26" t="str">
        <f ca="1">IFERROR(__xludf.DUMMYFUNCTION("""COMPUTED_VALUE"""),"Susan Wease")</f>
        <v>Susan Wease</v>
      </c>
      <c r="J42" s="26" t="str">
        <f ca="1">IFERROR(__xludf.DUMMYFUNCTION("""COMPUTED_VALUE"""),"Susan.Wease@gdit.com")</f>
        <v>Susan.Wease@gdit.com</v>
      </c>
      <c r="K42" s="26" t="str">
        <f ca="1">IFERROR(__xludf.DUMMYFUNCTION("""COMPUTED_VALUE"""),"318-642-6446")</f>
        <v>318-642-6446</v>
      </c>
    </row>
    <row r="43" spans="1:11" ht="30" x14ac:dyDescent="0.25">
      <c r="A43" s="22" t="str">
        <f ca="1">IFERROR(__xludf.DUMMYFUNCTION("""COMPUTED_VALUE"""),"GS02Q16DCR0069")</f>
        <v>GS02Q16DCR0069</v>
      </c>
      <c r="B43" s="23" t="str">
        <f ca="1">IFERROR(__xludf.DUMMYFUNCTION("""COMPUTED_VALUE"""),"Suntiva, LLC")</f>
        <v>Suntiva, LLC</v>
      </c>
      <c r="C43" s="24" t="str">
        <f ca="1">IFERROR(__xludf.DUMMYFUNCTION("""COMPUTED_VALUE"""),"167032239")</f>
        <v>167032239</v>
      </c>
      <c r="D43" s="35" t="str">
        <f ca="1">IFERROR(__xludf.DUMMYFUNCTION("""COMPUTED_VALUE"""),"7940 Jones Branch Dr, STE T45, Mclean, VA 22102-3218")</f>
        <v>7940 Jones Branch Dr, STE T45, Mclean, VA 22102-3218</v>
      </c>
      <c r="E43" s="26" t="str">
        <f ca="1">IFERROR(__xludf.DUMMYFUNCTION("""COMPUTED_VALUE"""),"HCaTS@suntiva.com")</f>
        <v>HCaTS@suntiva.com</v>
      </c>
      <c r="F43" s="26" t="str">
        <f ca="1">IFERROR(__xludf.DUMMYFUNCTION("""COMPUTED_VALUE"""),"Ellen M. Bartola        ")</f>
        <v xml:space="preserve">Ellen M. Bartola        </v>
      </c>
      <c r="G43" s="26" t="str">
        <f ca="1">IFERROR(__xludf.DUMMYFUNCTION("""COMPUTED_VALUE"""),"ebartola@suntiva.com")</f>
        <v>ebartola@suntiva.com</v>
      </c>
      <c r="H43" s="26" t="str">
        <f ca="1">IFERROR(__xludf.DUMMYFUNCTION("""COMPUTED_VALUE"""),"703-462-8470")</f>
        <v>703-462-8470</v>
      </c>
      <c r="I43" s="26" t="str">
        <f ca="1">IFERROR(__xludf.DUMMYFUNCTION("""COMPUTED_VALUE"""),"Jeremy Schmidt")</f>
        <v>Jeremy Schmidt</v>
      </c>
      <c r="J43" s="26" t="str">
        <f ca="1">IFERROR(__xludf.DUMMYFUNCTION("""COMPUTED_VALUE"""),"contracts@suntiva.com,  jschmidt@suntiva.com")</f>
        <v>contracts@suntiva.com,  jschmidt@suntiva.com</v>
      </c>
      <c r="K43" s="26" t="str">
        <f ca="1">IFERROR(__xludf.DUMMYFUNCTION("""COMPUTED_VALUE"""),"703-462-8470")</f>
        <v>703-462-8470</v>
      </c>
    </row>
    <row r="44" spans="1:11" ht="45" x14ac:dyDescent="0.25">
      <c r="A44" s="22" t="str">
        <f ca="1">IFERROR(__xludf.DUMMYFUNCTION("""COMPUTED_VALUE"""),"GS02Q16DCR0042")</f>
        <v>GS02Q16DCR0042</v>
      </c>
      <c r="B44" s="23" t="str">
        <f ca="1">IFERROR(__xludf.DUMMYFUNCTION("""COMPUTED_VALUE"""),"Team Carney, Inc")</f>
        <v>Team Carney, Inc</v>
      </c>
      <c r="C44" s="24" t="str">
        <f ca="1">IFERROR(__xludf.DUMMYFUNCTION("""COMPUTED_VALUE"""),"869205930")</f>
        <v>869205930</v>
      </c>
      <c r="D44" s="35" t="str">
        <f ca="1">IFERROR(__xludf.DUMMYFUNCTION("""COMPUTED_VALUE"""),"7621 Admiral Dr.
Alexandria, VA 22308-1071
")</f>
        <v xml:space="preserve">7621 Admiral Dr.
Alexandria, VA 22308-1071
</v>
      </c>
      <c r="E44" s="26" t="str">
        <f ca="1">IFERROR(__xludf.DUMMYFUNCTION("""COMPUTED_VALUE"""),"hcats@teamcarney.com")</f>
        <v>hcats@teamcarney.com</v>
      </c>
      <c r="F44" s="26" t="str">
        <f ca="1">IFERROR(__xludf.DUMMYFUNCTION("""COMPUTED_VALUE"""),"David Morris")</f>
        <v>David Morris</v>
      </c>
      <c r="G44" s="26" t="str">
        <f ca="1">IFERROR(__xludf.DUMMYFUNCTION("""COMPUTED_VALUE"""),"david.morris@teamcarney.com")</f>
        <v>david.morris@teamcarney.com</v>
      </c>
      <c r="H44" s="26" t="str">
        <f ca="1">IFERROR(__xludf.DUMMYFUNCTION("""COMPUTED_VALUE"""),"(703) 956-5116")</f>
        <v>(703) 956-5116</v>
      </c>
      <c r="I44" s="26" t="str">
        <f ca="1">IFERROR(__xludf.DUMMYFUNCTION("""COMPUTED_VALUE"""),"Allen Price")</f>
        <v>Allen Price</v>
      </c>
      <c r="J44" s="26" t="str">
        <f ca="1">IFERROR(__xludf.DUMMYFUNCTION("""COMPUTED_VALUE"""),"allen.price@teamcarney.com")</f>
        <v>allen.price@teamcarney.com</v>
      </c>
      <c r="K44" s="26" t="str">
        <f ca="1">IFERROR(__xludf.DUMMYFUNCTION("""COMPUTED_VALUE"""),"(703) 203-5440")</f>
        <v>(703) 203-5440</v>
      </c>
    </row>
    <row r="45" spans="1:11" ht="30" x14ac:dyDescent="0.25">
      <c r="A45" s="22" t="str">
        <f ca="1">IFERROR(__xludf.DUMMYFUNCTION("""COMPUTED_VALUE"""),"GS02Q16DCR0070")</f>
        <v>GS02Q16DCR0070</v>
      </c>
      <c r="B45" s="23" t="str">
        <f ca="1">IFERROR(__xludf.DUMMYFUNCTION("""COMPUTED_VALUE"""),"The Center for Organizational Excellence, Inc")</f>
        <v>The Center for Organizational Excellence, Inc</v>
      </c>
      <c r="C45" s="24" t="str">
        <f ca="1">IFERROR(__xludf.DUMMYFUNCTION("""COMPUTED_VALUE"""),"148041890")</f>
        <v>148041890</v>
      </c>
      <c r="D45" s="35" t="str">
        <f ca="1">IFERROR(__xludf.DUMMYFUNCTION("""COMPUTED_VALUE"""),"15204 Omega Drive Suite 300, Rockville, MD 20850-3218")</f>
        <v>15204 Omega Drive Suite 300, Rockville, MD 20850-3218</v>
      </c>
      <c r="E45" s="26" t="str">
        <f ca="1">IFERROR(__xludf.DUMMYFUNCTION("""COMPUTED_VALUE"""),"HCaTS@center4oe.com")</f>
        <v>HCaTS@center4oe.com</v>
      </c>
      <c r="F45" s="26" t="str">
        <f ca="1">IFERROR(__xludf.DUMMYFUNCTION("""COMPUTED_VALUE"""),"Sean McPhilomy")</f>
        <v>Sean McPhilomy</v>
      </c>
      <c r="G45" s="26" t="str">
        <f ca="1">IFERROR(__xludf.DUMMYFUNCTION("""COMPUTED_VALUE"""),"sean.mcphilomy@center4oe.com")</f>
        <v>sean.mcphilomy@center4oe.com</v>
      </c>
      <c r="H45" s="26" t="str">
        <f ca="1">IFERROR(__xludf.DUMMYFUNCTION("""COMPUTED_VALUE"""),"703-862-3687")</f>
        <v>703-862-3687</v>
      </c>
      <c r="I45" s="26" t="str">
        <f ca="1">IFERROR(__xludf.DUMMYFUNCTION("""COMPUTED_VALUE"""),"Karla Englund")</f>
        <v>Karla Englund</v>
      </c>
      <c r="J45" s="26" t="str">
        <f ca="1">IFERROR(__xludf.DUMMYFUNCTION("""COMPUTED_VALUE"""),"karla.englund@center4oe.com")</f>
        <v>karla.englund@center4oe.com</v>
      </c>
      <c r="K45" s="26" t="str">
        <f ca="1">IFERROR(__xludf.DUMMYFUNCTION("""COMPUTED_VALUE""")," 240-618-3831")</f>
        <v xml:space="preserve"> 240-618-3831</v>
      </c>
    </row>
    <row r="46" spans="1:11" ht="30" x14ac:dyDescent="0.25">
      <c r="A46" s="22" t="str">
        <f ca="1">IFERROR(__xludf.DUMMYFUNCTION("""COMPUTED_VALUE"""),"GS02Q16DCR0071")</f>
        <v>GS02Q16DCR0071</v>
      </c>
      <c r="B46" s="23" t="str">
        <f ca="1">IFERROR(__xludf.DUMMYFUNCTION("""COMPUTED_VALUE"""),"The North Highland Company, LLC")</f>
        <v>The North Highland Company, LLC</v>
      </c>
      <c r="C46" s="24" t="str">
        <f ca="1">IFERROR(__xludf.DUMMYFUNCTION("""COMPUTED_VALUE"""),"804665990")</f>
        <v>804665990</v>
      </c>
      <c r="D46" s="35" t="str">
        <f ca="1">IFERROR(__xludf.DUMMYFUNCTION("""COMPUTED_VALUE"""),"3333 Piedmont Road NE Suite 1000 Atlanta, GA 30305")</f>
        <v>3333 Piedmont Road NE Suite 1000 Atlanta, GA 30305</v>
      </c>
      <c r="E46" s="26" t="str">
        <f ca="1">IFERROR(__xludf.DUMMYFUNCTION("""COMPUTED_VALUE"""),"HCaTS@northhighland.com")</f>
        <v>HCaTS@northhighland.com</v>
      </c>
      <c r="F46" s="26" t="str">
        <f ca="1">IFERROR(__xludf.DUMMYFUNCTION("""COMPUTED_VALUE"""),"Emily Schulman")</f>
        <v>Emily Schulman</v>
      </c>
      <c r="G46" s="26" t="str">
        <f ca="1">IFERROR(__xludf.DUMMYFUNCTION("""COMPUTED_VALUE"""),"emily.schulman@northhighland.com")</f>
        <v>emily.schulman@northhighland.com</v>
      </c>
      <c r="H46" s="26" t="str">
        <f ca="1">IFERROR(__xludf.DUMMYFUNCTION("""COMPUTED_VALUE"""),"914-262-6981")</f>
        <v>914-262-6981</v>
      </c>
      <c r="I46" s="26" t="str">
        <f ca="1">IFERROR(__xludf.DUMMYFUNCTION("""COMPUTED_VALUE"""),"Chris McCarthy")</f>
        <v>Chris McCarthy</v>
      </c>
      <c r="J46" s="26" t="str">
        <f ca="1">IFERROR(__xludf.DUMMYFUNCTION("""COMPUTED_VALUE"""),"Chris.McCarthy@northhighland.com")</f>
        <v>Chris.McCarthy@northhighland.com</v>
      </c>
      <c r="K46" s="26"/>
    </row>
    <row r="47" spans="1:11" ht="45" x14ac:dyDescent="0.25">
      <c r="A47" s="22" t="str">
        <f ca="1">IFERROR(__xludf.DUMMYFUNCTION("""COMPUTED_VALUE"""),"GS02Q16DCR0045")</f>
        <v>GS02Q16DCR0045</v>
      </c>
      <c r="B47" s="23" t="str">
        <f ca="1">IFERROR(__xludf.DUMMYFUNCTION("""COMPUTED_VALUE"""),"Valiant Global Defense Services, Inc")</f>
        <v>Valiant Global Defense Services, Inc</v>
      </c>
      <c r="C47" s="24" t="str">
        <f ca="1">IFERROR(__xludf.DUMMYFUNCTION("""COMPUTED_VALUE"""),"802316315")</f>
        <v>802316315</v>
      </c>
      <c r="D47" s="35" t="str">
        <f ca="1">IFERROR(__xludf.DUMMYFUNCTION("""COMPUTED_VALUE"""),"2355 Dulles Corner Blvd Ste 200
         Herndon, VA 20171-6127
")</f>
        <v xml:space="preserve">2355 Dulles Corner Blvd Ste 200
         Herndon, VA 20171-6127
</v>
      </c>
      <c r="E47" s="26" t="str">
        <f ca="1">IFERROR(__xludf.DUMMYFUNCTION("""COMPUTED_VALUE"""),"HCaTS@valiantintegrated.com")</f>
        <v>HCaTS@valiantintegrated.com</v>
      </c>
      <c r="F47" s="26" t="str">
        <f ca="1">IFERROR(__xludf.DUMMYFUNCTION("""COMPUTED_VALUE"""),"Scott Anderson")</f>
        <v>Scott Anderson</v>
      </c>
      <c r="G47" s="26" t="str">
        <f ca="1">IFERROR(__xludf.DUMMYFUNCTION("""COMPUTED_VALUE"""),"Scott.Anderson@onevaliant.com")</f>
        <v>Scott.Anderson@onevaliant.com</v>
      </c>
      <c r="H47" s="26" t="str">
        <f ca="1">IFERROR(__xludf.DUMMYFUNCTION("""COMPUTED_VALUE"""),"(703) 472-5106")</f>
        <v>(703) 472-5106</v>
      </c>
      <c r="I47" s="26" t="str">
        <f ca="1">IFERROR(__xludf.DUMMYFUNCTION("""COMPUTED_VALUE"""),"Jason Booth")</f>
        <v>Jason Booth</v>
      </c>
      <c r="J47" s="26" t="str">
        <f ca="1">IFERROR(__xludf.DUMMYFUNCTION("""COMPUTED_VALUE"""),"jason.booth@onevaliant.com")</f>
        <v>jason.booth@onevaliant.com</v>
      </c>
      <c r="K47" s="26" t="str">
        <f ca="1">IFERROR(__xludf.DUMMYFUNCTION("""COMPUTED_VALUE"""),"(757) 350-6138")</f>
        <v>(757) 350-6138</v>
      </c>
    </row>
    <row r="48" spans="1:11" ht="30" x14ac:dyDescent="0.25">
      <c r="A48" s="22" t="str">
        <f ca="1">IFERROR(__xludf.DUMMYFUNCTION("""COMPUTED_VALUE"""),"GS02Q16DCR0072")</f>
        <v>GS02Q16DCR0072</v>
      </c>
      <c r="B48" s="23" t="str">
        <f ca="1">IFERROR(__xludf.DUMMYFUNCTION("""COMPUTED_VALUE"""),"Your Recruiting Company, Inc (YRCI)")</f>
        <v>Your Recruiting Company, Inc (YRCI)</v>
      </c>
      <c r="C48" s="24" t="str">
        <f ca="1">IFERROR(__xludf.DUMMYFUNCTION("""COMPUTED_VALUE"""),"031777167")</f>
        <v>031777167</v>
      </c>
      <c r="D48" s="35" t="str">
        <f ca="1">IFERROR(__xludf.DUMMYFUNCTION("""COMPUTED_VALUE"""),"11710 Plaza America Drive, Suite 920 Reston, VA 20190-6711 USA")</f>
        <v>11710 Plaza America Drive, Suite 920 Reston, VA 20190-6711 USA</v>
      </c>
      <c r="E48" s="26" t="str">
        <f ca="1">IFERROR(__xludf.DUMMYFUNCTION("""COMPUTED_VALUE"""),"HCaTS@yrci.com")</f>
        <v>HCaTS@yrci.com</v>
      </c>
      <c r="F48" s="26" t="str">
        <f ca="1">IFERROR(__xludf.DUMMYFUNCTION("""COMPUTED_VALUE"""),"Hans Jaeger")</f>
        <v>Hans Jaeger</v>
      </c>
      <c r="G48" s="26" t="str">
        <f ca="1">IFERROR(__xludf.DUMMYFUNCTION("""COMPUTED_VALUE"""),"hjaeger@yrci.com")</f>
        <v>hjaeger@yrci.com</v>
      </c>
      <c r="H48" s="26" t="str">
        <f ca="1">IFERROR(__xludf.DUMMYFUNCTION("""COMPUTED_VALUE"""),"703-995-9640")</f>
        <v>703-995-9640</v>
      </c>
      <c r="I48" s="26" t="str">
        <f ca="1">IFERROR(__xludf.DUMMYFUNCTION("""COMPUTED_VALUE"""),"Jeffrey J Kozak")</f>
        <v>Jeffrey J Kozak</v>
      </c>
      <c r="J48" s="26" t="str">
        <f ca="1">IFERROR(__xludf.DUMMYFUNCTION("""COMPUTED_VALUE"""),"jkozak@yrci.com")</f>
        <v>jkozak@yrci.com</v>
      </c>
      <c r="K48" s="26" t="str">
        <f ca="1">IFERROR(__xludf.DUMMYFUNCTION("""COMPUTED_VALUE"""),"703-995-9607")</f>
        <v>703-995-9607</v>
      </c>
    </row>
    <row r="49" spans="1:11" x14ac:dyDescent="0.25">
      <c r="A49" s="22"/>
      <c r="B49" s="23"/>
      <c r="C49" s="24"/>
      <c r="D49" s="35"/>
      <c r="E49" s="26"/>
      <c r="F49" s="26"/>
      <c r="G49" s="26"/>
      <c r="H49" s="26"/>
      <c r="I49" s="26"/>
      <c r="J49" s="26"/>
      <c r="K49" s="26"/>
    </row>
    <row r="50" spans="1:11" x14ac:dyDescent="0.25">
      <c r="A50" s="22"/>
      <c r="B50" s="23"/>
      <c r="C50" s="24"/>
      <c r="D50" s="35"/>
      <c r="E50" s="26"/>
      <c r="F50" s="26"/>
      <c r="G50" s="26"/>
      <c r="H50" s="26"/>
      <c r="I50" s="26"/>
      <c r="J50" s="26"/>
      <c r="K50" s="26"/>
    </row>
    <row r="51" spans="1:11" x14ac:dyDescent="0.25">
      <c r="A51" s="22"/>
      <c r="B51" s="23"/>
      <c r="C51" s="24"/>
      <c r="D51" s="35"/>
      <c r="E51" s="26"/>
      <c r="F51" s="26"/>
      <c r="G51" s="26"/>
      <c r="H51" s="26"/>
      <c r="I51" s="26"/>
      <c r="J51" s="26"/>
      <c r="K51" s="26"/>
    </row>
    <row r="52" spans="1:11" x14ac:dyDescent="0.25">
      <c r="A52" s="22"/>
      <c r="B52" s="23"/>
      <c r="C52" s="24"/>
      <c r="D52" s="35"/>
      <c r="E52" s="26"/>
      <c r="F52" s="26"/>
      <c r="G52" s="26"/>
      <c r="H52" s="26"/>
      <c r="I52" s="26"/>
      <c r="J52" s="26"/>
      <c r="K52" s="26"/>
    </row>
    <row r="53" spans="1:11" x14ac:dyDescent="0.25">
      <c r="A53" s="22"/>
      <c r="B53" s="23"/>
      <c r="C53" s="24"/>
      <c r="D53" s="35"/>
      <c r="E53" s="26"/>
      <c r="F53" s="26"/>
      <c r="G53" s="26"/>
      <c r="H53" s="26"/>
      <c r="I53" s="26"/>
      <c r="J53" s="26"/>
      <c r="K53" s="26"/>
    </row>
    <row r="54" spans="1:11" x14ac:dyDescent="0.25">
      <c r="A54" s="22"/>
      <c r="B54" s="23"/>
      <c r="C54" s="24"/>
      <c r="D54" s="35"/>
      <c r="E54" s="26"/>
      <c r="F54" s="26"/>
      <c r="G54" s="26"/>
      <c r="H54" s="26"/>
      <c r="I54" s="26"/>
      <c r="J54" s="26"/>
      <c r="K54" s="26"/>
    </row>
    <row r="55" spans="1:11" x14ac:dyDescent="0.25">
      <c r="A55" s="22"/>
      <c r="B55" s="23"/>
      <c r="C55" s="24"/>
      <c r="D55" s="35"/>
      <c r="E55" s="26"/>
      <c r="F55" s="26"/>
      <c r="G55" s="26"/>
      <c r="H55" s="26"/>
      <c r="I55" s="26"/>
      <c r="J55" s="26"/>
      <c r="K55" s="26"/>
    </row>
  </sheetData>
  <pageMargins left="0.2" right="0.2" top="0.2" bottom="0.2" header="0" footer="0"/>
  <pageSetup orientation="landscape"/>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1155CC"/>
  </sheetPr>
  <dimension ref="A1:R41"/>
  <sheetViews>
    <sheetView workbookViewId="0">
      <pane xSplit="2" ySplit="3" topLeftCell="C23" activePane="bottomRight" state="frozen"/>
      <selection pane="topRight" activeCell="C1" sqref="C1"/>
      <selection pane="bottomLeft" activeCell="A4" sqref="A4"/>
      <selection pane="bottomRight" activeCell="D21" sqref="D21"/>
    </sheetView>
  </sheetViews>
  <sheetFormatPr defaultColWidth="11.25" defaultRowHeight="15.75" x14ac:dyDescent="0.25"/>
  <cols>
    <col min="1" max="1" width="15.75" customWidth="1"/>
    <col min="2" max="2" width="30.75" customWidth="1"/>
    <col min="3" max="3" width="10" customWidth="1"/>
    <col min="4" max="4" width="27.875" customWidth="1"/>
    <col min="5" max="8" width="7" customWidth="1"/>
    <col min="9" max="9" width="8.25" customWidth="1"/>
    <col min="10" max="11" width="7" customWidth="1"/>
    <col min="12" max="15" width="17.75" customWidth="1"/>
    <col min="16" max="16" width="15.625" customWidth="1"/>
    <col min="17" max="17" width="23.75" customWidth="1"/>
    <col min="18" max="18" width="17.75" customWidth="1"/>
  </cols>
  <sheetData>
    <row r="1" spans="1:18" ht="28.5" x14ac:dyDescent="0.25">
      <c r="A1" s="36" t="s">
        <v>29</v>
      </c>
      <c r="B1" s="37"/>
      <c r="C1" s="38"/>
      <c r="D1" s="37"/>
      <c r="E1" s="39"/>
      <c r="F1" s="39"/>
      <c r="G1" s="40"/>
      <c r="H1" s="40"/>
      <c r="I1" s="41"/>
      <c r="J1" s="41"/>
      <c r="K1" s="41"/>
      <c r="L1" s="42"/>
      <c r="M1" s="42"/>
      <c r="N1" s="42"/>
      <c r="O1" s="42"/>
      <c r="P1" s="43"/>
      <c r="Q1" s="43"/>
      <c r="R1" s="44"/>
    </row>
    <row r="2" spans="1:18" x14ac:dyDescent="0.25">
      <c r="A2" s="97" t="s">
        <v>30</v>
      </c>
      <c r="B2" s="96" t="s">
        <v>17</v>
      </c>
      <c r="C2" s="92" t="s">
        <v>18</v>
      </c>
      <c r="D2" s="96" t="s">
        <v>19</v>
      </c>
      <c r="E2" s="99" t="s">
        <v>31</v>
      </c>
      <c r="F2" s="100"/>
      <c r="G2" s="100"/>
      <c r="H2" s="100"/>
      <c r="I2" s="100"/>
      <c r="J2" s="100"/>
      <c r="K2" s="101"/>
      <c r="L2" s="96" t="s">
        <v>20</v>
      </c>
      <c r="M2" s="96" t="s">
        <v>21</v>
      </c>
      <c r="N2" s="92" t="s">
        <v>22</v>
      </c>
      <c r="O2" s="92" t="s">
        <v>23</v>
      </c>
      <c r="P2" s="92" t="s">
        <v>24</v>
      </c>
      <c r="Q2" s="92" t="s">
        <v>25</v>
      </c>
      <c r="R2" s="94" t="s">
        <v>26</v>
      </c>
    </row>
    <row r="3" spans="1:18" ht="26.25" x14ac:dyDescent="0.25">
      <c r="A3" s="98"/>
      <c r="B3" s="93"/>
      <c r="C3" s="93"/>
      <c r="D3" s="93"/>
      <c r="E3" s="45" t="s">
        <v>32</v>
      </c>
      <c r="F3" s="46" t="s">
        <v>33</v>
      </c>
      <c r="G3" s="46" t="s">
        <v>34</v>
      </c>
      <c r="H3" s="46" t="s">
        <v>35</v>
      </c>
      <c r="I3" s="46" t="s">
        <v>36</v>
      </c>
      <c r="J3" s="46" t="s">
        <v>37</v>
      </c>
      <c r="K3" s="47" t="s">
        <v>38</v>
      </c>
      <c r="L3" s="93"/>
      <c r="M3" s="93"/>
      <c r="N3" s="93"/>
      <c r="O3" s="93"/>
      <c r="P3" s="93"/>
      <c r="Q3" s="93"/>
      <c r="R3" s="95"/>
    </row>
    <row r="4" spans="1:18" x14ac:dyDescent="0.25">
      <c r="A4" s="48" t="str">
        <f ca="1">IFERROR(__xludf.DUMMYFUNCTION("Query(importrange(""https://docs.google.com/spreadsheets/d/1t10Foe1vTEZyMDsOA_q-Q29vy-Kz9U_eP3ItSEmmPak/edit#gid=525286931"",""HCaTS Master Contracts info!A2:AN200""),""SELECT Col2, Col13, Col15, Col17, Col32, Col33, Col34, Col35, Col36, Col37, Col38, Col"&amp;"14,Col18, Col19, Col20, Col21, Col22, Col23 where Col2 is not null order by Col13"",0)"),"30")</f>
        <v>30</v>
      </c>
      <c r="B4" s="49"/>
      <c r="C4" s="50"/>
      <c r="D4" s="51"/>
      <c r="E4" s="52" t="str">
        <f ca="1">IFERROR(__xludf.DUMMYFUNCTION("""COMPUTED_VALUE"""),"57")</f>
        <v>57</v>
      </c>
      <c r="F4" s="52" t="str">
        <f ca="1">IFERROR(__xludf.DUMMYFUNCTION("""COMPUTED_VALUE"""),"4")</f>
        <v>4</v>
      </c>
      <c r="G4" s="52" t="str">
        <f ca="1">IFERROR(__xludf.DUMMYFUNCTION("""COMPUTED_VALUE"""),"12")</f>
        <v>12</v>
      </c>
      <c r="H4" s="52" t="str">
        <f ca="1">IFERROR(__xludf.DUMMYFUNCTION("""COMPUTED_VALUE"""),"7")</f>
        <v>7</v>
      </c>
      <c r="I4" s="52" t="str">
        <f ca="1">IFERROR(__xludf.DUMMYFUNCTION("""COMPUTED_VALUE"""),"8")</f>
        <v>8</v>
      </c>
      <c r="J4" s="52" t="str">
        <f ca="1">IFERROR(__xludf.DUMMYFUNCTION("""COMPUTED_VALUE"""),"24")</f>
        <v>24</v>
      </c>
      <c r="K4" s="52" t="str">
        <f ca="1">IFERROR(__xludf.DUMMYFUNCTION("""COMPUTED_VALUE"""),"11")</f>
        <v>11</v>
      </c>
      <c r="L4" s="53"/>
      <c r="M4" s="53"/>
      <c r="N4" s="53"/>
      <c r="O4" s="53"/>
      <c r="P4" s="53"/>
      <c r="Q4" s="53"/>
      <c r="R4" s="53"/>
    </row>
    <row r="5" spans="1:18" ht="30" x14ac:dyDescent="0.25">
      <c r="A5" s="54" t="str">
        <f ca="1">IFERROR(__xludf.DUMMYFUNCTION("""COMPUTED_VALUE"""),"GS02Q16DCR0073")</f>
        <v>GS02Q16DCR0073</v>
      </c>
      <c r="B5" s="55" t="str">
        <f ca="1">IFERROR(__xludf.DUMMYFUNCTION("""COMPUTED_VALUE"""),"A P Ventures, LLC")</f>
        <v>A P Ventures, LLC</v>
      </c>
      <c r="C5" s="56" t="str">
        <f ca="1">IFERROR(__xludf.DUMMYFUNCTION("""COMPUTED_VALUE"""),"005752289")</f>
        <v>005752289</v>
      </c>
      <c r="D5" s="57" t="str">
        <f ca="1">IFERROR(__xludf.DUMMYFUNCTION("""COMPUTED_VALUE"""),"9520 Berger Road, Suite 107, Columbia, MD 21046, U.S.A.")</f>
        <v>9520 Berger Road, Suite 107, Columbia, MD 21046, U.S.A.</v>
      </c>
      <c r="E5" s="58" t="str">
        <f ca="1">IFERROR(__xludf.DUMMYFUNCTION("""COMPUTED_VALUE"""),"Yes")</f>
        <v>Yes</v>
      </c>
      <c r="F5" s="58" t="str">
        <f ca="1">IFERROR(__xludf.DUMMYFUNCTION("""COMPUTED_VALUE"""),"...")</f>
        <v>...</v>
      </c>
      <c r="G5" s="58" t="str">
        <f ca="1">IFERROR(__xludf.DUMMYFUNCTION("""COMPUTED_VALUE"""),"...")</f>
        <v>...</v>
      </c>
      <c r="H5" s="58" t="str">
        <f ca="1">IFERROR(__xludf.DUMMYFUNCTION("""COMPUTED_VALUE"""),"...")</f>
        <v>...</v>
      </c>
      <c r="I5" s="58" t="str">
        <f ca="1">IFERROR(__xludf.DUMMYFUNCTION("""COMPUTED_VALUE"""),"...")</f>
        <v>...</v>
      </c>
      <c r="J5" s="58" t="str">
        <f ca="1">IFERROR(__xludf.DUMMYFUNCTION("""COMPUTED_VALUE"""),"Yes")</f>
        <v>Yes</v>
      </c>
      <c r="K5" s="58" t="str">
        <f ca="1">IFERROR(__xludf.DUMMYFUNCTION("""COMPUTED_VALUE"""),"Yes")</f>
        <v>Yes</v>
      </c>
      <c r="L5" s="59" t="str">
        <f ca="1">IFERROR(__xludf.DUMMYFUNCTION("""COMPUTED_VALUE"""),"HCaTS-SB@apvit.com")</f>
        <v>HCaTS-SB@apvit.com</v>
      </c>
      <c r="M5" s="59" t="str">
        <f ca="1">IFERROR(__xludf.DUMMYFUNCTION("""COMPUTED_VALUE"""),"Nandita Gududuri")</f>
        <v>Nandita Gududuri</v>
      </c>
      <c r="N5" s="59" t="str">
        <f ca="1">IFERROR(__xludf.DUMMYFUNCTION("""COMPUTED_VALUE"""),"ngududuri@apvit.com")</f>
        <v>ngududuri@apvit.com</v>
      </c>
      <c r="O5" s="59" t="str">
        <f ca="1">IFERROR(__xludf.DUMMYFUNCTION("""COMPUTED_VALUE"""),"(301) 535-2495")</f>
        <v>(301) 535-2495</v>
      </c>
      <c r="P5" s="59" t="str">
        <f ca="1">IFERROR(__xludf.DUMMYFUNCTION("""COMPUTED_VALUE"""),"Jessica Farinholt")</f>
        <v>Jessica Farinholt</v>
      </c>
      <c r="Q5" s="59" t="str">
        <f ca="1">IFERROR(__xludf.DUMMYFUNCTION("""COMPUTED_VALUE"""),"contracts@apvit.com")</f>
        <v>contracts@apvit.com</v>
      </c>
      <c r="R5" s="59" t="str">
        <f ca="1">IFERROR(__xludf.DUMMYFUNCTION("""COMPUTED_VALUE"""),"(443) 542-9188")</f>
        <v>(443) 542-9188</v>
      </c>
    </row>
    <row r="6" spans="1:18" ht="30" x14ac:dyDescent="0.25">
      <c r="A6" s="48" t="str">
        <f ca="1">IFERROR(__xludf.DUMMYFUNCTION("""COMPUTED_VALUE"""),"47QREB19D0003")</f>
        <v>47QREB19D0003</v>
      </c>
      <c r="B6" s="49" t="str">
        <f ca="1">IFERROR(__xludf.DUMMYFUNCTION("""COMPUTED_VALUE"""),"Advanced Systems Technology and Management, Inc (AdSTM)")</f>
        <v>Advanced Systems Technology and Management, Inc (AdSTM)</v>
      </c>
      <c r="C6" s="50" t="str">
        <f ca="1">IFERROR(__xludf.DUMMYFUNCTION("""COMPUTED_VALUE"""),"049192649")</f>
        <v>049192649</v>
      </c>
      <c r="D6" s="51" t="str">
        <f ca="1">IFERROR(__xludf.DUMMYFUNCTION("""COMPUTED_VALUE"""),"7925 Jones Branch Dr Ste 5400
McLean, VA, 22102-3378")</f>
        <v>7925 Jones Branch Dr Ste 5400
McLean, VA, 22102-3378</v>
      </c>
      <c r="E6" s="52" t="str">
        <f ca="1">IFERROR(__xludf.DUMMYFUNCTION("""COMPUTED_VALUE"""),"...")</f>
        <v>...</v>
      </c>
      <c r="F6" s="52" t="str">
        <f ca="1">IFERROR(__xludf.DUMMYFUNCTION("""COMPUTED_VALUE"""),"...")</f>
        <v>...</v>
      </c>
      <c r="G6" s="52" t="str">
        <f ca="1">IFERROR(__xludf.DUMMYFUNCTION("""COMPUTED_VALUE"""),"...")</f>
        <v>...</v>
      </c>
      <c r="H6" s="52" t="str">
        <f ca="1">IFERROR(__xludf.DUMMYFUNCTION("""COMPUTED_VALUE"""),"...")</f>
        <v>...</v>
      </c>
      <c r="I6" s="52" t="str">
        <f ca="1">IFERROR(__xludf.DUMMYFUNCTION("""COMPUTED_VALUE"""),"...")</f>
        <v>...</v>
      </c>
      <c r="J6" s="52" t="str">
        <f ca="1">IFERROR(__xludf.DUMMYFUNCTION("""COMPUTED_VALUE"""),"Yes")</f>
        <v>Yes</v>
      </c>
      <c r="K6" s="52" t="str">
        <f ca="1">IFERROR(__xludf.DUMMYFUNCTION("""COMPUTED_VALUE"""),"...")</f>
        <v>...</v>
      </c>
      <c r="L6" s="53" t="str">
        <f ca="1">IFERROR(__xludf.DUMMYFUNCTION("""COMPUTED_VALUE"""),"jen.kim@adstm.com")</f>
        <v>jen.kim@adstm.com</v>
      </c>
      <c r="M6" s="53" t="str">
        <f ca="1">IFERROR(__xludf.DUMMYFUNCTION("""COMPUTED_VALUE"""),"David Bivians")</f>
        <v>David Bivians</v>
      </c>
      <c r="N6" s="53" t="str">
        <f ca="1">IFERROR(__xludf.DUMMYFUNCTION("""COMPUTED_VALUE"""),"david.bivians@adstm.com")</f>
        <v>david.bivians@adstm.com</v>
      </c>
      <c r="O6" s="53" t="str">
        <f ca="1">IFERROR(__xludf.DUMMYFUNCTION("""COMPUTED_VALUE"""),"571-264-1158")</f>
        <v>571-264-1158</v>
      </c>
      <c r="P6" s="53" t="str">
        <f ca="1">IFERROR(__xludf.DUMMYFUNCTION("""COMPUTED_VALUE"""),"Jen Kim")</f>
        <v>Jen Kim</v>
      </c>
      <c r="Q6" s="53" t="str">
        <f ca="1">IFERROR(__xludf.DUMMYFUNCTION("""COMPUTED_VALUE"""),"jen.kim@adstm.com")</f>
        <v>jen.kim@adstm.com</v>
      </c>
      <c r="R6" s="53" t="str">
        <f ca="1">IFERROR(__xludf.DUMMYFUNCTION("""COMPUTED_VALUE"""),"703-821-0678")</f>
        <v>703-821-0678</v>
      </c>
    </row>
    <row r="7" spans="1:18" ht="30" x14ac:dyDescent="0.25">
      <c r="A7" s="54" t="str">
        <f ca="1">IFERROR(__xludf.DUMMYFUNCTION("""COMPUTED_VALUE"""),"GS02Q16DCR0074")</f>
        <v>GS02Q16DCR0074</v>
      </c>
      <c r="B7" s="55" t="str">
        <f ca="1">IFERROR(__xludf.DUMMYFUNCTION("""COMPUTED_VALUE"""),"AE Strategies, LLC")</f>
        <v>AE Strategies, LLC</v>
      </c>
      <c r="C7" s="56" t="str">
        <f ca="1">IFERROR(__xludf.DUMMYFUNCTION("""COMPUTED_VALUE"""),"136483547")</f>
        <v>136483547</v>
      </c>
      <c r="D7" s="57" t="str">
        <f ca="1">IFERROR(__xludf.DUMMYFUNCTION("""COMPUTED_VALUE"""),"1751 Pinnacle Drive Suite 600, McLean, VA 22102")</f>
        <v>1751 Pinnacle Drive Suite 600, McLean, VA 22102</v>
      </c>
      <c r="E7" s="58" t="str">
        <f ca="1">IFERROR(__xludf.DUMMYFUNCTION("""COMPUTED_VALUE"""),"...")</f>
        <v>...</v>
      </c>
      <c r="F7" s="58" t="str">
        <f ca="1">IFERROR(__xludf.DUMMYFUNCTION("""COMPUTED_VALUE"""),"...")</f>
        <v>...</v>
      </c>
      <c r="G7" s="58" t="str">
        <f ca="1">IFERROR(__xludf.DUMMYFUNCTION("""COMPUTED_VALUE"""),"...")</f>
        <v>...</v>
      </c>
      <c r="H7" s="58" t="str">
        <f ca="1">IFERROR(__xludf.DUMMYFUNCTION("""COMPUTED_VALUE"""),"...")</f>
        <v>...</v>
      </c>
      <c r="I7" s="58" t="str">
        <f ca="1">IFERROR(__xludf.DUMMYFUNCTION("""COMPUTED_VALUE"""),"...")</f>
        <v>...</v>
      </c>
      <c r="J7" s="58" t="str">
        <f ca="1">IFERROR(__xludf.DUMMYFUNCTION("""COMPUTED_VALUE"""),"...")</f>
        <v>...</v>
      </c>
      <c r="K7" s="58" t="str">
        <f ca="1">IFERROR(__xludf.DUMMYFUNCTION("""COMPUTED_VALUE"""),"...")</f>
        <v>...</v>
      </c>
      <c r="L7" s="59" t="str">
        <f ca="1">IFERROR(__xludf.DUMMYFUNCTION("""COMPUTED_VALUE"""),"HCATS@aestrategies.com")</f>
        <v>HCATS@aestrategies.com</v>
      </c>
      <c r="M7" s="59" t="str">
        <f ca="1">IFERROR(__xludf.DUMMYFUNCTION("""COMPUTED_VALUE"""),"Patrick Niehus")</f>
        <v>Patrick Niehus</v>
      </c>
      <c r="N7" s="59" t="str">
        <f ca="1">IFERROR(__xludf.DUMMYFUNCTION("""COMPUTED_VALUE"""),"pniehus@aestrategies.com")</f>
        <v>pniehus@aestrategies.com</v>
      </c>
      <c r="O7" s="59" t="str">
        <f ca="1">IFERROR(__xludf.DUMMYFUNCTION("""COMPUTED_VALUE"""),"703-314-0298")</f>
        <v>703-314-0298</v>
      </c>
      <c r="P7" s="59" t="str">
        <f ca="1">IFERROR(__xludf.DUMMYFUNCTION("""COMPUTED_VALUE"""),"Tami Tipton")</f>
        <v>Tami Tipton</v>
      </c>
      <c r="Q7" s="59" t="str">
        <f ca="1">IFERROR(__xludf.DUMMYFUNCTION("""COMPUTED_VALUE"""),"ttipton@aestrategies.com")</f>
        <v>ttipton@aestrategies.com</v>
      </c>
      <c r="R7" s="59" t="str">
        <f ca="1">IFERROR(__xludf.DUMMYFUNCTION("""COMPUTED_VALUE"""),"703-286-0880")</f>
        <v>703-286-0880</v>
      </c>
    </row>
    <row r="8" spans="1:18" ht="30" x14ac:dyDescent="0.25">
      <c r="A8" s="48" t="str">
        <f ca="1">IFERROR(__xludf.DUMMYFUNCTION("""COMPUTED_VALUE"""),"47QREB19D0013")</f>
        <v>47QREB19D0013</v>
      </c>
      <c r="B8" s="49" t="str">
        <f ca="1">IFERROR(__xludf.DUMMYFUNCTION("""COMPUTED_VALUE"""),"Agile-Group, LLC, The")</f>
        <v>Agile-Group, LLC, The</v>
      </c>
      <c r="C8" s="50" t="str">
        <f ca="1">IFERROR(__xludf.DUMMYFUNCTION("""COMPUTED_VALUE"""),"829407787")</f>
        <v>829407787</v>
      </c>
      <c r="D8" s="51" t="str">
        <f ca="1">IFERROR(__xludf.DUMMYFUNCTION("""COMPUTED_VALUE"""),"3003 Silver Ave SE
Albuquerque, NM, 87106-2243")</f>
        <v>3003 Silver Ave SE
Albuquerque, NM, 87106-2243</v>
      </c>
      <c r="E8" s="52" t="str">
        <f ca="1">IFERROR(__xludf.DUMMYFUNCTION("""COMPUTED_VALUE"""),"Yes")</f>
        <v>Yes</v>
      </c>
      <c r="F8" s="52" t="str">
        <f ca="1">IFERROR(__xludf.DUMMYFUNCTION("""COMPUTED_VALUE"""),"...")</f>
        <v>...</v>
      </c>
      <c r="G8" s="52" t="str">
        <f ca="1">IFERROR(__xludf.DUMMYFUNCTION("""COMPUTED_VALUE"""),"...")</f>
        <v>...</v>
      </c>
      <c r="H8" s="52" t="str">
        <f ca="1">IFERROR(__xludf.DUMMYFUNCTION("""COMPUTED_VALUE"""),"...")</f>
        <v>...</v>
      </c>
      <c r="I8" s="52" t="str">
        <f ca="1">IFERROR(__xludf.DUMMYFUNCTION("""COMPUTED_VALUE"""),"...")</f>
        <v>...</v>
      </c>
      <c r="J8" s="52" t="str">
        <f ca="1">IFERROR(__xludf.DUMMYFUNCTION("""COMPUTED_VALUE"""),"Yes")</f>
        <v>Yes</v>
      </c>
      <c r="K8" s="52" t="str">
        <f ca="1">IFERROR(__xludf.DUMMYFUNCTION("""COMPUTED_VALUE"""),"Yes")</f>
        <v>Yes</v>
      </c>
      <c r="L8" s="53" t="str">
        <f ca="1">IFERROR(__xludf.DUMMYFUNCTION("""COMPUTED_VALUE"""),"HCATS@agilegroupusa.com")</f>
        <v>HCATS@agilegroupusa.com</v>
      </c>
      <c r="M8" s="53" t="str">
        <f ca="1">IFERROR(__xludf.DUMMYFUNCTION("""COMPUTED_VALUE"""),"Britain Harvey")</f>
        <v>Britain Harvey</v>
      </c>
      <c r="N8" s="53" t="str">
        <f ca="1">IFERROR(__xludf.DUMMYFUNCTION("""COMPUTED_VALUE"""),"bharvey@agilegroupusa.com")</f>
        <v>bharvey@agilegroupusa.com</v>
      </c>
      <c r="O8" s="53" t="str">
        <f ca="1">IFERROR(__xludf.DUMMYFUNCTION("""COMPUTED_VALUE"""),"(505) 266-0190 x. 101 (O)")</f>
        <v>(505) 266-0190 x. 101 (O)</v>
      </c>
      <c r="P8" s="53" t="str">
        <f ca="1">IFERROR(__xludf.DUMMYFUNCTION("""COMPUTED_VALUE"""),"Maria Hanners")</f>
        <v>Maria Hanners</v>
      </c>
      <c r="Q8" s="53" t="str">
        <f ca="1">IFERROR(__xludf.DUMMYFUNCTION("""COMPUTED_VALUE"""),"mhanners@agilegroupusa.com")</f>
        <v>mhanners@agilegroupusa.com</v>
      </c>
      <c r="R8" s="53" t="str">
        <f ca="1">IFERROR(__xludf.DUMMYFUNCTION("""COMPUTED_VALUE"""),"(505) 266-0190 x. 103 (O)")</f>
        <v>(505) 266-0190 x. 103 (O)</v>
      </c>
    </row>
    <row r="9" spans="1:18" ht="30" x14ac:dyDescent="0.25">
      <c r="A9" s="54" t="str">
        <f ca="1">IFERROR(__xludf.DUMMYFUNCTION("""COMPUTED_VALUE"""),"47QREB20D0001")</f>
        <v>47QREB20D0001</v>
      </c>
      <c r="B9" s="55" t="str">
        <f ca="1">IFERROR(__xludf.DUMMYFUNCTION("""COMPUTED_VALUE"""),"Avani Services, LLC  (FKA Forward Momentum, LLC)")</f>
        <v>Avani Services, LLC  (FKA Forward Momentum, LLC)</v>
      </c>
      <c r="C9" s="56" t="str">
        <f ca="1">IFERROR(__xludf.DUMMYFUNCTION("""COMPUTED_VALUE"""),"105930122")</f>
        <v>105930122</v>
      </c>
      <c r="D9" s="57" t="str">
        <f ca="1">IFERROR(__xludf.DUMMYFUNCTION("""COMPUTED_VALUE"""),"5003 Warren St NW Washington,DC 20016-4371")</f>
        <v>5003 Warren St NW Washington,DC 20016-4371</v>
      </c>
      <c r="E9" s="58" t="str">
        <f ca="1">IFERROR(__xludf.DUMMYFUNCTION("""COMPUTED_VALUE"""),"Yes")</f>
        <v>Yes</v>
      </c>
      <c r="F9" s="58" t="str">
        <f ca="1">IFERROR(__xludf.DUMMYFUNCTION("""COMPUTED_VALUE"""),"...")</f>
        <v>...</v>
      </c>
      <c r="G9" s="58" t="str">
        <f ca="1">IFERROR(__xludf.DUMMYFUNCTION("""COMPUTED_VALUE"""),"...")</f>
        <v>...</v>
      </c>
      <c r="H9" s="58" t="str">
        <f ca="1">IFERROR(__xludf.DUMMYFUNCTION("""COMPUTED_VALUE"""),"...")</f>
        <v>...</v>
      </c>
      <c r="I9" s="58" t="str">
        <f ca="1">IFERROR(__xludf.DUMMYFUNCTION("""COMPUTED_VALUE"""),"...")</f>
        <v>...</v>
      </c>
      <c r="J9" s="58" t="str">
        <f ca="1">IFERROR(__xludf.DUMMYFUNCTION("""COMPUTED_VALUE"""),"Yes")</f>
        <v>Yes</v>
      </c>
      <c r="K9" s="58" t="str">
        <f ca="1">IFERROR(__xludf.DUMMYFUNCTION("""COMPUTED_VALUE"""),"Yes")</f>
        <v>Yes</v>
      </c>
      <c r="L9" s="59" t="str">
        <f ca="1">IFERROR(__xludf.DUMMYFUNCTION("""COMPUTED_VALUE"""),"HCaTS@forwardmomentum.net")</f>
        <v>HCaTS@forwardmomentum.net</v>
      </c>
      <c r="M9" s="59" t="str">
        <f ca="1">IFERROR(__xludf.DUMMYFUNCTION("""COMPUTED_VALUE"""),"Natasha Cox")</f>
        <v>Natasha Cox</v>
      </c>
      <c r="N9" s="59" t="str">
        <f ca="1">IFERROR(__xludf.DUMMYFUNCTION("""COMPUTED_VALUE"""),"natasha.cox@avaniservices.com")</f>
        <v>natasha.cox@avaniservices.com</v>
      </c>
      <c r="O9" s="59" t="str">
        <f ca="1">IFERROR(__xludf.DUMMYFUNCTION("""COMPUTED_VALUE"""),"202-964-0242")</f>
        <v>202-964-0242</v>
      </c>
      <c r="P9" s="59" t="str">
        <f ca="1">IFERROR(__xludf.DUMMYFUNCTION("""COMPUTED_VALUE"""),"Kathryn Cox ")</f>
        <v xml:space="preserve">Kathryn Cox </v>
      </c>
      <c r="Q9" s="59" t="str">
        <f ca="1">IFERROR(__xludf.DUMMYFUNCTION("""COMPUTED_VALUE"""),"kathryn.cox@avaniservices.com")</f>
        <v>kathryn.cox@avaniservices.com</v>
      </c>
      <c r="R9" s="59" t="str">
        <f ca="1">IFERROR(__xludf.DUMMYFUNCTION("""COMPUTED_VALUE"""),"910.916.8815")</f>
        <v>910.916.8815</v>
      </c>
    </row>
    <row r="10" spans="1:18" ht="30" x14ac:dyDescent="0.25">
      <c r="A10" s="48" t="str">
        <f ca="1">IFERROR(__xludf.DUMMYFUNCTION("""COMPUTED_VALUE"""),"47QREB19D0022")</f>
        <v>47QREB19D0022</v>
      </c>
      <c r="B10" s="49" t="str">
        <f ca="1">IFERROR(__xludf.DUMMYFUNCTION("""COMPUTED_VALUE"""),"AvantGarde, LLC")</f>
        <v>AvantGarde, LLC</v>
      </c>
      <c r="C10" s="50" t="str">
        <f ca="1">IFERROR(__xludf.DUMMYFUNCTION("""COMPUTED_VALUE"""),"968013792")</f>
        <v>968013792</v>
      </c>
      <c r="D10" s="51" t="str">
        <f ca="1">IFERROR(__xludf.DUMMYFUNCTION("""COMPUTED_VALUE"""),"15630 Vision Drive, Suite A
Pflugerville, TX, 78660-3181")</f>
        <v>15630 Vision Drive, Suite A
Pflugerville, TX, 78660-3181</v>
      </c>
      <c r="E10" s="52" t="str">
        <f ca="1">IFERROR(__xludf.DUMMYFUNCTION("""COMPUTED_VALUE"""),"Yes")</f>
        <v>Yes</v>
      </c>
      <c r="F10" s="52" t="str">
        <f ca="1">IFERROR(__xludf.DUMMYFUNCTION("""COMPUTED_VALUE"""),"...")</f>
        <v>...</v>
      </c>
      <c r="G10" s="52" t="str">
        <f ca="1">IFERROR(__xludf.DUMMYFUNCTION("""COMPUTED_VALUE"""),"...")</f>
        <v>...</v>
      </c>
      <c r="H10" s="52" t="str">
        <f ca="1">IFERROR(__xludf.DUMMYFUNCTION("""COMPUTED_VALUE"""),"...")</f>
        <v>...</v>
      </c>
      <c r="I10" s="52" t="str">
        <f ca="1">IFERROR(__xludf.DUMMYFUNCTION("""COMPUTED_VALUE"""),"...")</f>
        <v>...</v>
      </c>
      <c r="J10" s="52" t="str">
        <f ca="1">IFERROR(__xludf.DUMMYFUNCTION("""COMPUTED_VALUE"""),"Yes")</f>
        <v>Yes</v>
      </c>
      <c r="K10" s="52" t="str">
        <f ca="1">IFERROR(__xludf.DUMMYFUNCTION("""COMPUTED_VALUE"""),"Yes")</f>
        <v>Yes</v>
      </c>
      <c r="L10" s="53" t="str">
        <f ca="1">IFERROR(__xludf.DUMMYFUNCTION("""COMPUTED_VALUE"""),"HCaTSaskAG@avantgarde4usa.com")</f>
        <v>HCaTSaskAG@avantgarde4usa.com</v>
      </c>
      <c r="M10" s="53" t="str">
        <f ca="1">IFERROR(__xludf.DUMMYFUNCTION("""COMPUTED_VALUE"""),"Rachel Holly")</f>
        <v>Rachel Holly</v>
      </c>
      <c r="N10" s="53" t="str">
        <f ca="1">IFERROR(__xludf.DUMMYFUNCTION("""COMPUTED_VALUE"""),"rholly@avantgarde4usa.com")</f>
        <v>rholly@avantgarde4usa.com</v>
      </c>
      <c r="O10" s="53" t="str">
        <f ca="1">IFERROR(__xludf.DUMMYFUNCTION("""COMPUTED_VALUE"""),"703-597-2084")</f>
        <v>703-597-2084</v>
      </c>
      <c r="P10" s="53" t="str">
        <f ca="1">IFERROR(__xludf.DUMMYFUNCTION("""COMPUTED_VALUE"""),"Greg Portnoy")</f>
        <v>Greg Portnoy</v>
      </c>
      <c r="Q10" s="53" t="str">
        <f ca="1">IFERROR(__xludf.DUMMYFUNCTION("""COMPUTED_VALUE"""),"gportnoy@avantgarde4usa.com")</f>
        <v>gportnoy@avantgarde4usa.com</v>
      </c>
      <c r="R10" s="53" t="str">
        <f ca="1">IFERROR(__xludf.DUMMYFUNCTION("""COMPUTED_VALUE"""),"(301) 417-4580")</f>
        <v>(301) 417-4580</v>
      </c>
    </row>
    <row r="11" spans="1:18" ht="30" x14ac:dyDescent="0.25">
      <c r="A11" s="54" t="str">
        <f ca="1">IFERROR(__xludf.DUMMYFUNCTION("""COMPUTED_VALUE"""),"47QREB19D0018")</f>
        <v>47QREB19D0018</v>
      </c>
      <c r="B11" s="55" t="str">
        <f ca="1">IFERROR(__xludf.DUMMYFUNCTION("""COMPUTED_VALUE"""),"Chitra Productions LLC")</f>
        <v>Chitra Productions LLC</v>
      </c>
      <c r="C11" s="56" t="str">
        <f ca="1">IFERROR(__xludf.DUMMYFUNCTION("""COMPUTED_VALUE"""),"828460712")</f>
        <v>828460712</v>
      </c>
      <c r="D11" s="57" t="str">
        <f ca="1">IFERROR(__xludf.DUMMYFUNCTION("""COMPUTED_VALUE"""),"4211 Monarch Way Suite 122 Norfolk, VA 23508-2540")</f>
        <v>4211 Monarch Way Suite 122 Norfolk, VA 23508-2540</v>
      </c>
      <c r="E11" s="58" t="str">
        <f ca="1">IFERROR(__xludf.DUMMYFUNCTION("""COMPUTED_VALUE"""),"Yes")</f>
        <v>Yes</v>
      </c>
      <c r="F11" s="58" t="str">
        <f ca="1">IFERROR(__xludf.DUMMYFUNCTION("""COMPUTED_VALUE"""),"Yes")</f>
        <v>Yes</v>
      </c>
      <c r="G11" s="58" t="str">
        <f ca="1">IFERROR(__xludf.DUMMYFUNCTION("""COMPUTED_VALUE"""),"...")</f>
        <v>...</v>
      </c>
      <c r="H11" s="58" t="str">
        <f ca="1">IFERROR(__xludf.DUMMYFUNCTION("""COMPUTED_VALUE"""),"...")</f>
        <v>...</v>
      </c>
      <c r="I11" s="58" t="str">
        <f ca="1">IFERROR(__xludf.DUMMYFUNCTION("""COMPUTED_VALUE"""),"...")</f>
        <v>...</v>
      </c>
      <c r="J11" s="58" t="str">
        <f ca="1">IFERROR(__xludf.DUMMYFUNCTION("""COMPUTED_VALUE"""),"Yes")</f>
        <v>Yes</v>
      </c>
      <c r="K11" s="58" t="str">
        <f ca="1">IFERROR(__xludf.DUMMYFUNCTION("""COMPUTED_VALUE"""),"...")</f>
        <v>...</v>
      </c>
      <c r="L11" s="59" t="str">
        <f ca="1">IFERROR(__xludf.DUMMYFUNCTION("""COMPUTED_VALUE"""),"hcats@chitraproductions.com")</f>
        <v>hcats@chitraproductions.com</v>
      </c>
      <c r="M11" s="59" t="str">
        <f ca="1">IFERROR(__xludf.DUMMYFUNCTION("""COMPUTED_VALUE"""),"Vibhaa Vermani")</f>
        <v>Vibhaa Vermani</v>
      </c>
      <c r="N11" s="59" t="str">
        <f ca="1">IFERROR(__xludf.DUMMYFUNCTION("""COMPUTED_VALUE"""),"Vibhaa@chitraproductions.com")</f>
        <v>Vibhaa@chitraproductions.com</v>
      </c>
      <c r="O11" s="59" t="str">
        <f ca="1">IFERROR(__xludf.DUMMYFUNCTION("""COMPUTED_VALUE"""),"757-495-0234")</f>
        <v>757-495-0234</v>
      </c>
      <c r="P11" s="59" t="str">
        <f ca="1">IFERROR(__xludf.DUMMYFUNCTION("""COMPUTED_VALUE"""),"Mary Fish")</f>
        <v>Mary Fish</v>
      </c>
      <c r="Q11" s="59" t="str">
        <f ca="1">IFERROR(__xludf.DUMMYFUNCTION("""COMPUTED_VALUE"""),"mary@chitraproductions.com")</f>
        <v>mary@chitraproductions.com</v>
      </c>
      <c r="R11" s="59" t="str">
        <f ca="1">IFERROR(__xludf.DUMMYFUNCTION("""COMPUTED_VALUE"""),"7574950234")</f>
        <v>7574950234</v>
      </c>
    </row>
    <row r="12" spans="1:18" ht="30" x14ac:dyDescent="0.25">
      <c r="A12" s="48" t="str">
        <f ca="1">IFERROR(__xludf.DUMMYFUNCTION("""COMPUTED_VALUE"""),"GS02Q17DCR0010")</f>
        <v>GS02Q17DCR0010</v>
      </c>
      <c r="B12" s="49" t="str">
        <f ca="1">IFERROR(__xludf.DUMMYFUNCTION("""COMPUTED_VALUE"""),"Colleague Consulting, LLC")</f>
        <v>Colleague Consulting, LLC</v>
      </c>
      <c r="C12" s="50" t="str">
        <f ca="1">IFERROR(__xludf.DUMMYFUNCTION("""COMPUTED_VALUE"""),"137058413")</f>
        <v>137058413</v>
      </c>
      <c r="D12" s="51" t="str">
        <f ca="1">IFERROR(__xludf.DUMMYFUNCTION("""COMPUTED_VALUE"""),"7500 Greenway Center Drive, Suite 200, Greenbelt, MD 20770")</f>
        <v>7500 Greenway Center Drive, Suite 200, Greenbelt, MD 20770</v>
      </c>
      <c r="E12" s="52" t="str">
        <f ca="1">IFERROR(__xludf.DUMMYFUNCTION("""COMPUTED_VALUE"""),"...")</f>
        <v>...</v>
      </c>
      <c r="F12" s="52" t="str">
        <f ca="1">IFERROR(__xludf.DUMMYFUNCTION("""COMPUTED_VALUE"""),"...")</f>
        <v>...</v>
      </c>
      <c r="G12" s="52" t="str">
        <f ca="1">IFERROR(__xludf.DUMMYFUNCTION("""COMPUTED_VALUE"""),"...")</f>
        <v>...</v>
      </c>
      <c r="H12" s="52" t="str">
        <f ca="1">IFERROR(__xludf.DUMMYFUNCTION("""COMPUTED_VALUE"""),"...")</f>
        <v>...</v>
      </c>
      <c r="I12" s="52" t="str">
        <f ca="1">IFERROR(__xludf.DUMMYFUNCTION("""COMPUTED_VALUE"""),"...")</f>
        <v>...</v>
      </c>
      <c r="J12" s="52" t="str">
        <f ca="1">IFERROR(__xludf.DUMMYFUNCTION("""COMPUTED_VALUE"""),"...")</f>
        <v>...</v>
      </c>
      <c r="K12" s="52" t="str">
        <f ca="1">IFERROR(__xludf.DUMMYFUNCTION("""COMPUTED_VALUE"""),"...")</f>
        <v>...</v>
      </c>
      <c r="L12" s="53" t="str">
        <f ca="1">IFERROR(__xludf.DUMMYFUNCTION("""COMPUTED_VALUE"""),"hcats@colleagueconsulting.com")</f>
        <v>hcats@colleagueconsulting.com</v>
      </c>
      <c r="M12" s="53" t="str">
        <f ca="1">IFERROR(__xludf.DUMMYFUNCTION("""COMPUTED_VALUE"""),"Maya Larson")</f>
        <v>Maya Larson</v>
      </c>
      <c r="N12" s="53" t="str">
        <f ca="1">IFERROR(__xludf.DUMMYFUNCTION("""COMPUTED_VALUE"""),"mlarson@colleagueconsulting.com")</f>
        <v>mlarson@colleagueconsulting.com</v>
      </c>
      <c r="O12" s="53" t="str">
        <f ca="1">IFERROR(__xludf.DUMMYFUNCTION("""COMPUTED_VALUE"""),"301-277-0255 x102")</f>
        <v>301-277-0255 x102</v>
      </c>
      <c r="P12" s="53" t="str">
        <f ca="1">IFERROR(__xludf.DUMMYFUNCTION("""COMPUTED_VALUE"""),"Michelle Ruble")</f>
        <v>Michelle Ruble</v>
      </c>
      <c r="Q12" s="53" t="str">
        <f ca="1">IFERROR(__xludf.DUMMYFUNCTION("""COMPUTED_VALUE"""),"mruble@colleagueconsulting.com")</f>
        <v>mruble@colleagueconsulting.com</v>
      </c>
      <c r="R12" s="53" t="str">
        <f ca="1">IFERROR(__xludf.DUMMYFUNCTION("""COMPUTED_VALUE"""),"(301) 453-7369")</f>
        <v>(301) 453-7369</v>
      </c>
    </row>
    <row r="13" spans="1:18" ht="30" x14ac:dyDescent="0.25">
      <c r="A13" s="54" t="str">
        <f ca="1">IFERROR(__xludf.DUMMYFUNCTION("""COMPUTED_VALUE"""),"47QREB19D0023")</f>
        <v>47QREB19D0023</v>
      </c>
      <c r="B13" s="55" t="str">
        <f ca="1">IFERROR(__xludf.DUMMYFUNCTION("""COMPUTED_VALUE"""),"Communication Institute International, Inc")</f>
        <v>Communication Institute International, Inc</v>
      </c>
      <c r="C13" s="56" t="str">
        <f ca="1">IFERROR(__xludf.DUMMYFUNCTION("""COMPUTED_VALUE"""),"825487234")</f>
        <v>825487234</v>
      </c>
      <c r="D13" s="57" t="str">
        <f ca="1">IFERROR(__xludf.DUMMYFUNCTION("""COMPUTED_VALUE"""),"7852 S Elati St Ste 201
Littleton, CO, 80120-8079")</f>
        <v>7852 S Elati St Ste 201
Littleton, CO, 80120-8079</v>
      </c>
      <c r="E13" s="58" t="str">
        <f ca="1">IFERROR(__xludf.DUMMYFUNCTION("""COMPUTED_VALUE"""),"...")</f>
        <v>...</v>
      </c>
      <c r="F13" s="58" t="str">
        <f ca="1">IFERROR(__xludf.DUMMYFUNCTION("""COMPUTED_VALUE"""),"...")</f>
        <v>...</v>
      </c>
      <c r="G13" s="58" t="str">
        <f ca="1">IFERROR(__xludf.DUMMYFUNCTION("""COMPUTED_VALUE"""),"...")</f>
        <v>...</v>
      </c>
      <c r="H13" s="58" t="str">
        <f ca="1">IFERROR(__xludf.DUMMYFUNCTION("""COMPUTED_VALUE"""),"...")</f>
        <v>...</v>
      </c>
      <c r="I13" s="58" t="str">
        <f ca="1">IFERROR(__xludf.DUMMYFUNCTION("""COMPUTED_VALUE"""),"...")</f>
        <v>...</v>
      </c>
      <c r="J13" s="58" t="str">
        <f ca="1">IFERROR(__xludf.DUMMYFUNCTION("""COMPUTED_VALUE"""),"...")</f>
        <v>...</v>
      </c>
      <c r="K13" s="58" t="str">
        <f ca="1">IFERROR(__xludf.DUMMYFUNCTION("""COMPUTED_VALUE"""),"...")</f>
        <v>...</v>
      </c>
      <c r="L13" s="59" t="str">
        <f ca="1">IFERROR(__xludf.DUMMYFUNCTION("""COMPUTED_VALUE"""),"HCaTS@ciinternational.com")</f>
        <v>HCaTS@ciinternational.com</v>
      </c>
      <c r="M13" s="59" t="str">
        <f ca="1">IFERROR(__xludf.DUMMYFUNCTION("""COMPUTED_VALUE"""),"Robb Heaton")</f>
        <v>Robb Heaton</v>
      </c>
      <c r="N13" s="59" t="str">
        <f ca="1">IFERROR(__xludf.DUMMYFUNCTION("""COMPUTED_VALUE"""),"rheaton@ciinternational.com")</f>
        <v>rheaton@ciinternational.com</v>
      </c>
      <c r="O13" s="59" t="str">
        <f ca="1">IFERROR(__xludf.DUMMYFUNCTION("""COMPUTED_VALUE"""),"303-356-0000")</f>
        <v>303-356-0000</v>
      </c>
      <c r="P13" s="59" t="str">
        <f ca="1">IFERROR(__xludf.DUMMYFUNCTION("""COMPUTED_VALUE"""),"Rachel Gershon ")</f>
        <v xml:space="preserve">Rachel Gershon </v>
      </c>
      <c r="Q13" s="59" t="str">
        <f ca="1">IFERROR(__xludf.DUMMYFUNCTION("""COMPUTED_VALUE"""),"rgershon@ciinternational.com")</f>
        <v>rgershon@ciinternational.com</v>
      </c>
      <c r="R13" s="59" t="str">
        <f ca="1">IFERROR(__xludf.DUMMYFUNCTION("""COMPUTED_VALUE"""),"303-679-6335")</f>
        <v>303-679-6335</v>
      </c>
    </row>
    <row r="14" spans="1:18" ht="30" x14ac:dyDescent="0.25">
      <c r="A14" s="48" t="str">
        <f ca="1">IFERROR(__xludf.DUMMYFUNCTION("""COMPUTED_VALUE"""),"47QREB19D0009")</f>
        <v>47QREB19D0009</v>
      </c>
      <c r="B14" s="49" t="str">
        <f ca="1">IFERROR(__xludf.DUMMYFUNCTION("""COMPUTED_VALUE"""),"CTR Management Group, LLC")</f>
        <v>CTR Management Group, LLC</v>
      </c>
      <c r="C14" s="50" t="str">
        <f ca="1">IFERROR(__xludf.DUMMYFUNCTION("""COMPUTED_VALUE"""),"831054098")</f>
        <v>831054098</v>
      </c>
      <c r="D14" s="51" t="str">
        <f ca="1">IFERROR(__xludf.DUMMYFUNCTION("""COMPUTED_VALUE"""),"2751 Prosperity Ave Ste 540
Fairfax, VA, 22031-4397")</f>
        <v>2751 Prosperity Ave Ste 540
Fairfax, VA, 22031-4397</v>
      </c>
      <c r="E14" s="52" t="str">
        <f ca="1">IFERROR(__xludf.DUMMYFUNCTION("""COMPUTED_VALUE"""),"Yes")</f>
        <v>Yes</v>
      </c>
      <c r="F14" s="52" t="str">
        <f ca="1">IFERROR(__xludf.DUMMYFUNCTION("""COMPUTED_VALUE"""),"...")</f>
        <v>...</v>
      </c>
      <c r="G14" s="52" t="str">
        <f ca="1">IFERROR(__xludf.DUMMYFUNCTION("""COMPUTED_VALUE"""),"...")</f>
        <v>...</v>
      </c>
      <c r="H14" s="52" t="str">
        <f ca="1">IFERROR(__xludf.DUMMYFUNCTION("""COMPUTED_VALUE"""),"...")</f>
        <v>...</v>
      </c>
      <c r="I14" s="52" t="str">
        <f ca="1">IFERROR(__xludf.DUMMYFUNCTION("""COMPUTED_VALUE"""),"...")</f>
        <v>...</v>
      </c>
      <c r="J14" s="52" t="str">
        <f ca="1">IFERROR(__xludf.DUMMYFUNCTION("""COMPUTED_VALUE"""),"...")</f>
        <v>...</v>
      </c>
      <c r="K14" s="52" t="str">
        <f ca="1">IFERROR(__xludf.DUMMYFUNCTION("""COMPUTED_VALUE"""),"...")</f>
        <v>...</v>
      </c>
      <c r="L14" s="53" t="str">
        <f ca="1">IFERROR(__xludf.DUMMYFUNCTION("""COMPUTED_VALUE"""),"HCaTS@ctrmg.com")</f>
        <v>HCaTS@ctrmg.com</v>
      </c>
      <c r="M14" s="53" t="str">
        <f ca="1">IFERROR(__xludf.DUMMYFUNCTION("""COMPUTED_VALUE"""),"Michael Daley")</f>
        <v>Michael Daley</v>
      </c>
      <c r="N14" s="53" t="str">
        <f ca="1">IFERROR(__xludf.DUMMYFUNCTION("""COMPUTED_VALUE"""),"mdaley@ctrmg.com")</f>
        <v>mdaley@ctrmg.com</v>
      </c>
      <c r="O14" s="53" t="str">
        <f ca="1">IFERROR(__xludf.DUMMYFUNCTION("""COMPUTED_VALUE"""),"703-213-6207")</f>
        <v>703-213-6207</v>
      </c>
      <c r="P14" s="53" t="str">
        <f ca="1">IFERROR(__xludf.DUMMYFUNCTION("""COMPUTED_VALUE"""),"Ian D Nuzzo")</f>
        <v>Ian D Nuzzo</v>
      </c>
      <c r="Q14" s="53" t="str">
        <f ca="1">IFERROR(__xludf.DUMMYFUNCTION("""COMPUTED_VALUE"""),"inuzzo@ctrmg.com")</f>
        <v>inuzzo@ctrmg.com</v>
      </c>
      <c r="R14" s="53" t="str">
        <f ca="1">IFERROR(__xludf.DUMMYFUNCTION("""COMPUTED_VALUE"""),"703-629-2423")</f>
        <v>703-629-2423</v>
      </c>
    </row>
    <row r="15" spans="1:18" ht="30" x14ac:dyDescent="0.25">
      <c r="A15" s="54" t="str">
        <f ca="1">IFERROR(__xludf.DUMMYFUNCTION("""COMPUTED_VALUE"""),"47QREB19D0012")</f>
        <v>47QREB19D0012</v>
      </c>
      <c r="B15" s="55" t="str">
        <f ca="1">IFERROR(__xludf.DUMMYFUNCTION("""COMPUTED_VALUE"""),"Data Management Services, Inc")</f>
        <v>Data Management Services, Inc</v>
      </c>
      <c r="C15" s="56" t="str">
        <f ca="1">IFERROR(__xludf.DUMMYFUNCTION("""COMPUTED_VALUE"""),"933922171")</f>
        <v>933922171</v>
      </c>
      <c r="D15" s="57" t="str">
        <f ca="1">IFERROR(__xludf.DUMMYFUNCTION("""COMPUTED_VALUE"""),"804 Pershing Dr Ste 204
Silver Spring, MD, 20910-4439")</f>
        <v>804 Pershing Dr Ste 204
Silver Spring, MD, 20910-4439</v>
      </c>
      <c r="E15" s="58" t="str">
        <f ca="1">IFERROR(__xludf.DUMMYFUNCTION("""COMPUTED_VALUE"""),"Yes")</f>
        <v>Yes</v>
      </c>
      <c r="F15" s="58" t="str">
        <f ca="1">IFERROR(__xludf.DUMMYFUNCTION("""COMPUTED_VALUE"""),"...")</f>
        <v>...</v>
      </c>
      <c r="G15" s="58" t="str">
        <f ca="1">IFERROR(__xludf.DUMMYFUNCTION("""COMPUTED_VALUE"""),"...")</f>
        <v>...</v>
      </c>
      <c r="H15" s="58" t="str">
        <f ca="1">IFERROR(__xludf.DUMMYFUNCTION("""COMPUTED_VALUE"""),"...")</f>
        <v>...</v>
      </c>
      <c r="I15" s="58" t="str">
        <f ca="1">IFERROR(__xludf.DUMMYFUNCTION("""COMPUTED_VALUE"""),"...")</f>
        <v>...</v>
      </c>
      <c r="J15" s="58" t="str">
        <f ca="1">IFERROR(__xludf.DUMMYFUNCTION("""COMPUTED_VALUE"""),"Yes")</f>
        <v>Yes</v>
      </c>
      <c r="K15" s="58" t="str">
        <f ca="1">IFERROR(__xludf.DUMMYFUNCTION("""COMPUTED_VALUE"""),"...")</f>
        <v>...</v>
      </c>
      <c r="L15" s="59" t="str">
        <f ca="1">IFERROR(__xludf.DUMMYFUNCTION("""COMPUTED_VALUE""")," hcats@dmsinetwork.com")</f>
        <v xml:space="preserve"> hcats@dmsinetwork.com</v>
      </c>
      <c r="M15" s="59" t="str">
        <f ca="1">IFERROR(__xludf.DUMMYFUNCTION("""COMPUTED_VALUE"""),"Richard E. McInnis")</f>
        <v>Richard E. McInnis</v>
      </c>
      <c r="N15" s="59" t="str">
        <f ca="1">IFERROR(__xludf.DUMMYFUNCTION("""COMPUTED_VALUE"""),"richard.mcinnis@dmsinetwork.com")</f>
        <v>richard.mcinnis@dmsinetwork.com</v>
      </c>
      <c r="O15" s="59" t="str">
        <f ca="1">IFERROR(__xludf.DUMMYFUNCTION("""COMPUTED_VALUE"""),"401-741-6025")</f>
        <v>401-741-6025</v>
      </c>
      <c r="P15" s="59" t="str">
        <f ca="1">IFERROR(__xludf.DUMMYFUNCTION("""COMPUTED_VALUE"""),"Mark St. Moritz")</f>
        <v>Mark St. Moritz</v>
      </c>
      <c r="Q15" s="59" t="str">
        <f ca="1">IFERROR(__xludf.DUMMYFUNCTION("""COMPUTED_VALUE"""),"mark.stmoritz@dmsinetwork.com")</f>
        <v>mark.stmoritz@dmsinetwork.com</v>
      </c>
      <c r="R15" s="59" t="str">
        <f ca="1">IFERROR(__xludf.DUMMYFUNCTION("""COMPUTED_VALUE"""),"407-790-1149")</f>
        <v>407-790-1149</v>
      </c>
    </row>
    <row r="16" spans="1:18" ht="30" x14ac:dyDescent="0.25">
      <c r="A16" s="48" t="str">
        <f ca="1">IFERROR(__xludf.DUMMYFUNCTION("""COMPUTED_VALUE"""),"GS02Q16DCR0076")</f>
        <v>GS02Q16DCR0076</v>
      </c>
      <c r="B16" s="49" t="str">
        <f ca="1">IFERROR(__xludf.DUMMYFUNCTION("""COMPUTED_VALUE"""),"Deep Mile Networks, LLC")</f>
        <v>Deep Mile Networks, LLC</v>
      </c>
      <c r="C16" s="50" t="str">
        <f ca="1">IFERROR(__xludf.DUMMYFUNCTION("""COMPUTED_VALUE"""),"790984186")</f>
        <v>790984186</v>
      </c>
      <c r="D16" s="51" t="str">
        <f ca="1">IFERROR(__xludf.DUMMYFUNCTION("""COMPUTED_VALUE"""),"1934 Old Gallows Road, Suite 350
Vienna, VA 22182-4050")</f>
        <v>1934 Old Gallows Road, Suite 350
Vienna, VA 22182-4050</v>
      </c>
      <c r="E16" s="52" t="str">
        <f ca="1">IFERROR(__xludf.DUMMYFUNCTION("""COMPUTED_VALUE"""),"...")</f>
        <v>...</v>
      </c>
      <c r="F16" s="52" t="str">
        <f ca="1">IFERROR(__xludf.DUMMYFUNCTION("""COMPUTED_VALUE"""),"...")</f>
        <v>...</v>
      </c>
      <c r="G16" s="52" t="str">
        <f ca="1">IFERROR(__xludf.DUMMYFUNCTION("""COMPUTED_VALUE"""),"...")</f>
        <v>...</v>
      </c>
      <c r="H16" s="52" t="str">
        <f ca="1">IFERROR(__xludf.DUMMYFUNCTION("""COMPUTED_VALUE"""),"...")</f>
        <v>...</v>
      </c>
      <c r="I16" s="52" t="str">
        <f ca="1">IFERROR(__xludf.DUMMYFUNCTION("""COMPUTED_VALUE"""),"...")</f>
        <v>...</v>
      </c>
      <c r="J16" s="52" t="str">
        <f ca="1">IFERROR(__xludf.DUMMYFUNCTION("""COMPUTED_VALUE"""),"...")</f>
        <v>...</v>
      </c>
      <c r="K16" s="52" t="str">
        <f ca="1">IFERROR(__xludf.DUMMYFUNCTION("""COMPUTED_VALUE"""),"...")</f>
        <v>...</v>
      </c>
      <c r="L16" s="53" t="str">
        <f ca="1">IFERROR(__xludf.DUMMYFUNCTION("""COMPUTED_VALUE"""),"hcats_sb@deepmile.com")</f>
        <v>hcats_sb@deepmile.com</v>
      </c>
      <c r="M16" s="53" t="str">
        <f ca="1">IFERROR(__xludf.DUMMYFUNCTION("""COMPUTED_VALUE"""),"Pawan Singh")</f>
        <v>Pawan Singh</v>
      </c>
      <c r="N16" s="53" t="str">
        <f ca="1">IFERROR(__xludf.DUMMYFUNCTION("""COMPUTED_VALUE"""),"pawan.singh@deepmile.com")</f>
        <v>pawan.singh@deepmile.com</v>
      </c>
      <c r="O16" s="53" t="str">
        <f ca="1">IFERROR(__xludf.DUMMYFUNCTION("""COMPUTED_VALUE"""),"571-344-2345")</f>
        <v>571-344-2345</v>
      </c>
      <c r="P16" s="53" t="str">
        <f ca="1">IFERROR(__xludf.DUMMYFUNCTION("""COMPUTED_VALUE"""),"Avantika Shrivastava")</f>
        <v>Avantika Shrivastava</v>
      </c>
      <c r="Q16" s="53" t="str">
        <f ca="1">IFERROR(__xludf.DUMMYFUNCTION("""COMPUTED_VALUE"""),"avantika.shrivastava@deepmile.com  Hcats_sb@deepmile.com")</f>
        <v>avantika.shrivastava@deepmile.com  Hcats_sb@deepmile.com</v>
      </c>
      <c r="R16" s="53" t="str">
        <f ca="1">IFERROR(__xludf.DUMMYFUNCTION("""COMPUTED_VALUE"""),"703-825-0844")</f>
        <v>703-825-0844</v>
      </c>
    </row>
    <row r="17" spans="1:18" ht="30" x14ac:dyDescent="0.25">
      <c r="A17" s="54" t="str">
        <f ca="1">IFERROR(__xludf.DUMMYFUNCTION("""COMPUTED_VALUE"""),"47QREB19D0005")</f>
        <v>47QREB19D0005</v>
      </c>
      <c r="B17" s="55" t="str">
        <f ca="1">IFERROR(__xludf.DUMMYFUNCTION("""COMPUTED_VALUE"""),"Delan Associates, Inc")</f>
        <v>Delan Associates, Inc</v>
      </c>
      <c r="C17" s="56" t="str">
        <f ca="1">IFERROR(__xludf.DUMMYFUNCTION("""COMPUTED_VALUE"""),"131707031")</f>
        <v>131707031</v>
      </c>
      <c r="D17" s="57" t="str">
        <f ca="1">IFERROR(__xludf.DUMMYFUNCTION("""COMPUTED_VALUE"""),"25 Maryland Ave
Freeport, NY 11520-2005")</f>
        <v>25 Maryland Ave
Freeport, NY 11520-2005</v>
      </c>
      <c r="E17" s="58" t="str">
        <f ca="1">IFERROR(__xludf.DUMMYFUNCTION("""COMPUTED_VALUE"""),"Yes")</f>
        <v>Yes</v>
      </c>
      <c r="F17" s="58" t="str">
        <f ca="1">IFERROR(__xludf.DUMMYFUNCTION("""COMPUTED_VALUE"""),"...")</f>
        <v>...</v>
      </c>
      <c r="G17" s="58" t="str">
        <f ca="1">IFERROR(__xludf.DUMMYFUNCTION("""COMPUTED_VALUE"""),"...")</f>
        <v>...</v>
      </c>
      <c r="H17" s="58" t="str">
        <f ca="1">IFERROR(__xludf.DUMMYFUNCTION("""COMPUTED_VALUE"""),"...")</f>
        <v>...</v>
      </c>
      <c r="I17" s="58" t="str">
        <f ca="1">IFERROR(__xludf.DUMMYFUNCTION("""COMPUTED_VALUE"""),"...")</f>
        <v>...</v>
      </c>
      <c r="J17" s="58" t="str">
        <f ca="1">IFERROR(__xludf.DUMMYFUNCTION("""COMPUTED_VALUE"""),"...")</f>
        <v>...</v>
      </c>
      <c r="K17" s="58" t="str">
        <f ca="1">IFERROR(__xludf.DUMMYFUNCTION("""COMPUTED_VALUE"""),"...")</f>
        <v>...</v>
      </c>
      <c r="L17" s="59" t="str">
        <f ca="1">IFERROR(__xludf.DUMMYFUNCTION("""COMPUTED_VALUE"""),"delanhcats@delanhq.com")</f>
        <v>delanhcats@delanhq.com</v>
      </c>
      <c r="M17" s="59" t="str">
        <f ca="1">IFERROR(__xludf.DUMMYFUNCTION("""COMPUTED_VALUE"""),"Charmaine Black")</f>
        <v>Charmaine Black</v>
      </c>
      <c r="N17" s="59" t="str">
        <f ca="1">IFERROR(__xludf.DUMMYFUNCTION("""COMPUTED_VALUE"""),"charmaine.black@delanassociates.com")</f>
        <v>charmaine.black@delanassociates.com</v>
      </c>
      <c r="O17" s="59" t="str">
        <f ca="1">IFERROR(__xludf.DUMMYFUNCTION("""COMPUTED_VALUE"""),"516-442-0040")</f>
        <v>516-442-0040</v>
      </c>
      <c r="P17" s="59" t="str">
        <f ca="1">IFERROR(__xludf.DUMMYFUNCTION("""COMPUTED_VALUE"""),"Michael Chung")</f>
        <v>Michael Chung</v>
      </c>
      <c r="Q17" s="59" t="str">
        <f ca="1">IFERROR(__xludf.DUMMYFUNCTION("""COMPUTED_VALUE"""),"michael.chung@delanassociates.com")</f>
        <v>michael.chung@delanassociates.com</v>
      </c>
      <c r="R17" s="59" t="str">
        <f ca="1">IFERROR(__xludf.DUMMYFUNCTION("""COMPUTED_VALUE"""),"804-892-7847")</f>
        <v>804-892-7847</v>
      </c>
    </row>
    <row r="18" spans="1:18" ht="30" x14ac:dyDescent="0.25">
      <c r="A18" s="48" t="str">
        <f ca="1">IFERROR(__xludf.DUMMYFUNCTION("""COMPUTED_VALUE"""),"47QREB19D0001")</f>
        <v>47QREB19D0001</v>
      </c>
      <c r="B18" s="49" t="str">
        <f ca="1">IFERROR(__xludf.DUMMYFUNCTION("""COMPUTED_VALUE"""),"E-PAGA, INC")</f>
        <v>E-PAGA, INC</v>
      </c>
      <c r="C18" s="50" t="str">
        <f ca="1">IFERROR(__xludf.DUMMYFUNCTION("""COMPUTED_VALUE"""),"624889189")</f>
        <v>624889189</v>
      </c>
      <c r="D18" s="51" t="str">
        <f ca="1">IFERROR(__xludf.DUMMYFUNCTION("""COMPUTED_VALUE"""),"9201 Corporate Boulevard, Suite 430, Rockville, MD 20850")</f>
        <v>9201 Corporate Boulevard, Suite 430, Rockville, MD 20850</v>
      </c>
      <c r="E18" s="52" t="str">
        <f ca="1">IFERROR(__xludf.DUMMYFUNCTION("""COMPUTED_VALUE"""),"Yes")</f>
        <v>Yes</v>
      </c>
      <c r="F18" s="52" t="str">
        <f ca="1">IFERROR(__xludf.DUMMYFUNCTION("""COMPUTED_VALUE"""),"...")</f>
        <v>...</v>
      </c>
      <c r="G18" s="52" t="str">
        <f ca="1">IFERROR(__xludf.DUMMYFUNCTION("""COMPUTED_VALUE"""),"...")</f>
        <v>...</v>
      </c>
      <c r="H18" s="52" t="str">
        <f ca="1">IFERROR(__xludf.DUMMYFUNCTION("""COMPUTED_VALUE"""),"...")</f>
        <v>...</v>
      </c>
      <c r="I18" s="52" t="str">
        <f ca="1">IFERROR(__xludf.DUMMYFUNCTION("""COMPUTED_VALUE"""),"...")</f>
        <v>...</v>
      </c>
      <c r="J18" s="52" t="str">
        <f ca="1">IFERROR(__xludf.DUMMYFUNCTION("""COMPUTED_VALUE"""),"...")</f>
        <v>...</v>
      </c>
      <c r="K18" s="52" t="str">
        <f ca="1">IFERROR(__xludf.DUMMYFUNCTION("""COMPUTED_VALUE"""),"...")</f>
        <v>...</v>
      </c>
      <c r="L18" s="53" t="str">
        <f ca="1">IFERROR(__xludf.DUMMYFUNCTION("""COMPUTED_VALUE"""),"gsa.epaga.hcatssb@gmail.com")</f>
        <v>gsa.epaga.hcatssb@gmail.com</v>
      </c>
      <c r="M18" s="53" t="str">
        <f ca="1">IFERROR(__xludf.DUMMYFUNCTION("""COMPUTED_VALUE"""),"Anna Hodgson")</f>
        <v>Anna Hodgson</v>
      </c>
      <c r="N18" s="53" t="str">
        <f ca="1">IFERROR(__xludf.DUMMYFUNCTION("""COMPUTED_VALUE"""),"ahodgson@e-paga.com")</f>
        <v>ahodgson@e-paga.com</v>
      </c>
      <c r="O18" s="53" t="str">
        <f ca="1">IFERROR(__xludf.DUMMYFUNCTION("""COMPUTED_VALUE"""),"202-345-6585")</f>
        <v>202-345-6585</v>
      </c>
      <c r="P18" s="53" t="str">
        <f ca="1">IFERROR(__xludf.DUMMYFUNCTION("""COMPUTED_VALUE"""),"William Yu")</f>
        <v>William Yu</v>
      </c>
      <c r="Q18" s="53" t="str">
        <f ca="1">IFERROR(__xludf.DUMMYFUNCTION("""COMPUTED_VALUE"""),"wyu@e-paga.com")</f>
        <v>wyu@e-paga.com</v>
      </c>
      <c r="R18" s="53" t="str">
        <f ca="1">IFERROR(__xludf.DUMMYFUNCTION("""COMPUTED_VALUE"""),"301-346-9455")</f>
        <v>301-346-9455</v>
      </c>
    </row>
    <row r="19" spans="1:18" ht="30" x14ac:dyDescent="0.25">
      <c r="A19" s="54" t="str">
        <f ca="1">IFERROR(__xludf.DUMMYFUNCTION("""COMPUTED_VALUE"""),"47QREB19D0026")</f>
        <v>47QREB19D0026</v>
      </c>
      <c r="B19" s="55" t="str">
        <f ca="1">IFERROR(__xludf.DUMMYFUNCTION("""COMPUTED_VALUE"""),"Engaging Training Solutions, Inc")</f>
        <v>Engaging Training Solutions, Inc</v>
      </c>
      <c r="C19" s="56" t="str">
        <f ca="1">IFERROR(__xludf.DUMMYFUNCTION("""COMPUTED_VALUE"""),"015766241")</f>
        <v>015766241</v>
      </c>
      <c r="D19" s="57" t="str">
        <f ca="1">IFERROR(__xludf.DUMMYFUNCTION("""COMPUTED_VALUE"""),"14201 E 4th Avenue, Suite 4-360
Aurora, CO, 80011-8748")</f>
        <v>14201 E 4th Avenue, Suite 4-360
Aurora, CO, 80011-8748</v>
      </c>
      <c r="E19" s="58" t="str">
        <f ca="1">IFERROR(__xludf.DUMMYFUNCTION("""COMPUTED_VALUE"""),"Yes")</f>
        <v>Yes</v>
      </c>
      <c r="F19" s="58" t="str">
        <f ca="1">IFERROR(__xludf.DUMMYFUNCTION("""COMPUTED_VALUE"""),"Yes")</f>
        <v>Yes</v>
      </c>
      <c r="G19" s="58" t="str">
        <f ca="1">IFERROR(__xludf.DUMMYFUNCTION("""COMPUTED_VALUE"""),"...")</f>
        <v>...</v>
      </c>
      <c r="H19" s="58" t="str">
        <f ca="1">IFERROR(__xludf.DUMMYFUNCTION("""COMPUTED_VALUE"""),"...")</f>
        <v>...</v>
      </c>
      <c r="I19" s="58" t="str">
        <f ca="1">IFERROR(__xludf.DUMMYFUNCTION("""COMPUTED_VALUE"""),"...")</f>
        <v>...</v>
      </c>
      <c r="J19" s="58" t="str">
        <f ca="1">IFERROR(__xludf.DUMMYFUNCTION("""COMPUTED_VALUE"""),"...")</f>
        <v>...</v>
      </c>
      <c r="K19" s="58" t="str">
        <f ca="1">IFERROR(__xludf.DUMMYFUNCTION("""COMPUTED_VALUE"""),"...")</f>
        <v>...</v>
      </c>
      <c r="L19" s="59" t="str">
        <f ca="1">IFERROR(__xludf.DUMMYFUNCTION("""COMPUTED_VALUE"""),"greg@engagingtraining.com")</f>
        <v>greg@engagingtraining.com</v>
      </c>
      <c r="M19" s="59" t="str">
        <f ca="1">IFERROR(__xludf.DUMMYFUNCTION("""COMPUTED_VALUE"""),"Greg Garner")</f>
        <v>Greg Garner</v>
      </c>
      <c r="N19" s="59" t="str">
        <f ca="1">IFERROR(__xludf.DUMMYFUNCTION("""COMPUTED_VALUE"""),"greg@engagingtraining.com")</f>
        <v>greg@engagingtraining.com</v>
      </c>
      <c r="O19" s="59" t="str">
        <f ca="1">IFERROR(__xludf.DUMMYFUNCTION("""COMPUTED_VALUE"""),"888-362-0411 x704")</f>
        <v>888-362-0411 x704</v>
      </c>
      <c r="P19" s="59" t="str">
        <f ca="1">IFERROR(__xludf.DUMMYFUNCTION("""COMPUTED_VALUE"""),"James Bright")</f>
        <v>James Bright</v>
      </c>
      <c r="Q19" s="59" t="str">
        <f ca="1">IFERROR(__xludf.DUMMYFUNCTION("""COMPUTED_VALUE"""),"james@engagingtraining.com")</f>
        <v>james@engagingtraining.com</v>
      </c>
      <c r="R19" s="59" t="str">
        <f ca="1">IFERROR(__xludf.DUMMYFUNCTION("""COMPUTED_VALUE"""),"888-362-0411 x 727")</f>
        <v>888-362-0411 x 727</v>
      </c>
    </row>
    <row r="20" spans="1:18" ht="30" x14ac:dyDescent="0.25">
      <c r="A20" s="48" t="str">
        <f ca="1">IFERROR(__xludf.DUMMYFUNCTION("""COMPUTED_VALUE"""),"47QREB19D0002")</f>
        <v>47QREB19D0002</v>
      </c>
      <c r="B20" s="49" t="str">
        <f ca="1">IFERROR(__xludf.DUMMYFUNCTION("""COMPUTED_VALUE"""),"Full Circle Group, Inc")</f>
        <v>Full Circle Group, Inc</v>
      </c>
      <c r="C20" s="50" t="str">
        <f ca="1">IFERROR(__xludf.DUMMYFUNCTION("""COMPUTED_VALUE"""),"837121706")</f>
        <v>837121706</v>
      </c>
      <c r="D20" s="51" t="str">
        <f ca="1">IFERROR(__xludf.DUMMYFUNCTION("""COMPUTED_VALUE"""),"740 Springdale Dr Ste 125
Exton, PA, 19341-2831")</f>
        <v>740 Springdale Dr Ste 125
Exton, PA, 19341-2831</v>
      </c>
      <c r="E20" s="52" t="str">
        <f ca="1">IFERROR(__xludf.DUMMYFUNCTION("""COMPUTED_VALUE"""),"Yes")</f>
        <v>Yes</v>
      </c>
      <c r="F20" s="52" t="str">
        <f ca="1">IFERROR(__xludf.DUMMYFUNCTION("""COMPUTED_VALUE"""),"...")</f>
        <v>...</v>
      </c>
      <c r="G20" s="52" t="str">
        <f ca="1">IFERROR(__xludf.DUMMYFUNCTION("""COMPUTED_VALUE"""),"...")</f>
        <v>...</v>
      </c>
      <c r="H20" s="52" t="str">
        <f ca="1">IFERROR(__xludf.DUMMYFUNCTION("""COMPUTED_VALUE"""),"...")</f>
        <v>...</v>
      </c>
      <c r="I20" s="52" t="str">
        <f ca="1">IFERROR(__xludf.DUMMYFUNCTION("""COMPUTED_VALUE"""),"...")</f>
        <v>...</v>
      </c>
      <c r="J20" s="52" t="str">
        <f ca="1">IFERROR(__xludf.DUMMYFUNCTION("""COMPUTED_VALUE"""),"Yes")</f>
        <v>Yes</v>
      </c>
      <c r="K20" s="52" t="str">
        <f ca="1">IFERROR(__xludf.DUMMYFUNCTION("""COMPUTED_VALUE"""),"Yes")</f>
        <v>Yes</v>
      </c>
      <c r="L20" s="53" t="str">
        <f ca="1">IFERROR(__xludf.DUMMYFUNCTION("""COMPUTED_VALUE"""),"gsa_hcats@fullcirclecomputing.com")</f>
        <v>gsa_hcats@fullcirclecomputing.com</v>
      </c>
      <c r="M20" s="53" t="str">
        <f ca="1">IFERROR(__xludf.DUMMYFUNCTION("""COMPUTED_VALUE"""),"Denean Williams")</f>
        <v>Denean Williams</v>
      </c>
      <c r="N20" s="53" t="str">
        <f ca="1">IFERROR(__xludf.DUMMYFUNCTION("""COMPUTED_VALUE"""),"drw@thefullcirclegroup.com")</f>
        <v>drw@thefullcirclegroup.com</v>
      </c>
      <c r="O20" s="53" t="str">
        <f ca="1">IFERROR(__xludf.DUMMYFUNCTION("""COMPUTED_VALUE"""),"610.594.9510")</f>
        <v>610.594.9510</v>
      </c>
      <c r="P20" s="53" t="str">
        <f ca="1">IFERROR(__xludf.DUMMYFUNCTION("""COMPUTED_VALUE"""),"Cindy Skiles")</f>
        <v>Cindy Skiles</v>
      </c>
      <c r="Q20" s="53" t="str">
        <f ca="1">IFERROR(__xludf.DUMMYFUNCTION("""COMPUTED_VALUE"""),"cs@thefullcirclegroup.com")</f>
        <v>cs@thefullcirclegroup.com</v>
      </c>
      <c r="R20" s="53" t="str">
        <f ca="1">IFERROR(__xludf.DUMMYFUNCTION("""COMPUTED_VALUE"""),"610.594.9510")</f>
        <v>610.594.9510</v>
      </c>
    </row>
    <row r="21" spans="1:18" ht="30" x14ac:dyDescent="0.25">
      <c r="A21" s="54" t="str">
        <f ca="1">IFERROR(__xludf.DUMMYFUNCTION("""COMPUTED_VALUE"""),"47QREB19D0016")</f>
        <v>47QREB19D0016</v>
      </c>
      <c r="B21" s="55" t="str">
        <f ca="1">IFERROR(__xludf.DUMMYFUNCTION("""COMPUTED_VALUE"""),"Full Visibility LLC")</f>
        <v>Full Visibility LLC</v>
      </c>
      <c r="C21" s="56" t="str">
        <f ca="1">IFERROR(__xludf.DUMMYFUNCTION("""COMPUTED_VALUE"""),"796434582")</f>
        <v>796434582</v>
      </c>
      <c r="D21" s="57" t="str">
        <f ca="1">IFERROR(__xludf.DUMMYFUNCTION("""COMPUTED_VALUE"""),"5065 36th St N
Arlington, VA, 22207-2946")</f>
        <v>5065 36th St N
Arlington, VA, 22207-2946</v>
      </c>
      <c r="E21" s="58" t="str">
        <f ca="1">IFERROR(__xludf.DUMMYFUNCTION("""COMPUTED_VALUE"""),"...")</f>
        <v>...</v>
      </c>
      <c r="F21" s="58" t="str">
        <f ca="1">IFERROR(__xludf.DUMMYFUNCTION("""COMPUTED_VALUE"""),"...")</f>
        <v>...</v>
      </c>
      <c r="G21" s="58" t="str">
        <f ca="1">IFERROR(__xludf.DUMMYFUNCTION("""COMPUTED_VALUE"""),"...")</f>
        <v>...</v>
      </c>
      <c r="H21" s="58" t="str">
        <f ca="1">IFERROR(__xludf.DUMMYFUNCTION("""COMPUTED_VALUE"""),"...")</f>
        <v>...</v>
      </c>
      <c r="I21" s="58" t="str">
        <f ca="1">IFERROR(__xludf.DUMMYFUNCTION("""COMPUTED_VALUE"""),"...")</f>
        <v>...</v>
      </c>
      <c r="J21" s="58" t="str">
        <f ca="1">IFERROR(__xludf.DUMMYFUNCTION("""COMPUTED_VALUE"""),"...")</f>
        <v>...</v>
      </c>
      <c r="K21" s="58" t="str">
        <f ca="1">IFERROR(__xludf.DUMMYFUNCTION("""COMPUTED_VALUE"""),"...")</f>
        <v>...</v>
      </c>
      <c r="L21" s="59" t="str">
        <f ca="1">IFERROR(__xludf.DUMMYFUNCTION("""COMPUTED_VALUE"""),"hcatspmo@fullvisibility.com")</f>
        <v>hcatspmo@fullvisibility.com</v>
      </c>
      <c r="M21" s="59" t="str">
        <f ca="1">IFERROR(__xludf.DUMMYFUNCTION("""COMPUTED_VALUE"""),"Thomas Kohler")</f>
        <v>Thomas Kohler</v>
      </c>
      <c r="N21" s="59" t="str">
        <f ca="1">IFERROR(__xludf.DUMMYFUNCTION("""COMPUTED_VALUE"""),"tkohler@fullvisibility.com")</f>
        <v>tkohler@fullvisibility.com</v>
      </c>
      <c r="O21" s="59" t="str">
        <f ca="1">IFERROR(__xludf.DUMMYFUNCTION("""COMPUTED_VALUE"""),"703-349-2579")</f>
        <v>703-349-2579</v>
      </c>
      <c r="P21" s="59" t="str">
        <f ca="1">IFERROR(__xludf.DUMMYFUNCTION("""COMPUTED_VALUE"""),"Robert Andreev")</f>
        <v>Robert Andreev</v>
      </c>
      <c r="Q21" s="59" t="str">
        <f ca="1">IFERROR(__xludf.DUMMYFUNCTION("""COMPUTED_VALUE"""),"randreev@fullvisibility.com, brosenthal@fullvisibility.com")</f>
        <v>randreev@fullvisibility.com, brosenthal@fullvisibility.com</v>
      </c>
      <c r="R21" s="59" t="str">
        <f ca="1">IFERROR(__xludf.DUMMYFUNCTION("""COMPUTED_VALUE"""),"703-349-2579")</f>
        <v>703-349-2579</v>
      </c>
    </row>
    <row r="22" spans="1:18" ht="30" x14ac:dyDescent="0.25">
      <c r="A22" s="48" t="str">
        <f ca="1">IFERROR(__xludf.DUMMYFUNCTION("""COMPUTED_VALUE"""),"GS02Q17DCR0007")</f>
        <v>GS02Q17DCR0007</v>
      </c>
      <c r="B22" s="49" t="str">
        <f ca="1">IFERROR(__xludf.DUMMYFUNCTION("""COMPUTED_VALUE"""),"Gotham Government Services LLC")</f>
        <v>Gotham Government Services LLC</v>
      </c>
      <c r="C22" s="50" t="str">
        <f ca="1">IFERROR(__xludf.DUMMYFUNCTION("""COMPUTED_VALUE"""),"117346529")</f>
        <v>117346529</v>
      </c>
      <c r="D22" s="51" t="str">
        <f ca="1">IFERROR(__xludf.DUMMYFUNCTION("""COMPUTED_VALUE"""),"2675 Logmill Rd, Haymarket, VA 20169-1215")</f>
        <v>2675 Logmill Rd, Haymarket, VA 20169-1215</v>
      </c>
      <c r="E22" s="52" t="str">
        <f ca="1">IFERROR(__xludf.DUMMYFUNCTION("""COMPUTED_VALUE"""),"Yes")</f>
        <v>Yes</v>
      </c>
      <c r="F22" s="52" t="str">
        <f ca="1">IFERROR(__xludf.DUMMYFUNCTION("""COMPUTED_VALUE"""),"...")</f>
        <v>...</v>
      </c>
      <c r="G22" s="52" t="str">
        <f ca="1">IFERROR(__xludf.DUMMYFUNCTION("""COMPUTED_VALUE"""),"Yes")</f>
        <v>Yes</v>
      </c>
      <c r="H22" s="52" t="str">
        <f ca="1">IFERROR(__xludf.DUMMYFUNCTION("""COMPUTED_VALUE"""),"Yes")</f>
        <v>Yes</v>
      </c>
      <c r="I22" s="52" t="str">
        <f ca="1">IFERROR(__xludf.DUMMYFUNCTION("""COMPUTED_VALUE"""),"Yes")</f>
        <v>Yes</v>
      </c>
      <c r="J22" s="52" t="str">
        <f ca="1">IFERROR(__xludf.DUMMYFUNCTION("""COMPUTED_VALUE"""),"...")</f>
        <v>...</v>
      </c>
      <c r="K22" s="52" t="str">
        <f ca="1">IFERROR(__xludf.DUMMYFUNCTION("""COMPUTED_VALUE"""),"...")</f>
        <v>...</v>
      </c>
      <c r="L22" s="53" t="str">
        <f ca="1">IFERROR(__xludf.DUMMYFUNCTION("""COMPUTED_VALUE"""),"hcats@gothamgovernment.com")</f>
        <v>hcats@gothamgovernment.com</v>
      </c>
      <c r="M22" s="53" t="str">
        <f ca="1">IFERROR(__xludf.DUMMYFUNCTION("""COMPUTED_VALUE"""),"Tim Bowden")</f>
        <v>Tim Bowden</v>
      </c>
      <c r="N22" s="53" t="str">
        <f ca="1">IFERROR(__xludf.DUMMYFUNCTION("""COMPUTED_VALUE"""),"tbowden@gothamgovernment.com")</f>
        <v>tbowden@gothamgovernment.com</v>
      </c>
      <c r="O22" s="53" t="str">
        <f ca="1">IFERROR(__xludf.DUMMYFUNCTION("""COMPUTED_VALUE"""),"321-438-8950")</f>
        <v>321-438-8950</v>
      </c>
      <c r="P22" s="53" t="str">
        <f ca="1">IFERROR(__xludf.DUMMYFUNCTION("""COMPUTED_VALUE"""),"Chris Cancialosi")</f>
        <v>Chris Cancialosi</v>
      </c>
      <c r="Q22" s="53" t="str">
        <f ca="1">IFERROR(__xludf.DUMMYFUNCTION("""COMPUTED_VALUE"""),"ccancialosi@gothamgovernment.com")</f>
        <v>ccancialosi@gothamgovernment.com</v>
      </c>
      <c r="R22" s="53" t="str">
        <f ca="1">IFERROR(__xludf.DUMMYFUNCTION("""COMPUTED_VALUE"""),"732-610-7884")</f>
        <v>732-610-7884</v>
      </c>
    </row>
    <row r="23" spans="1:18" ht="45" x14ac:dyDescent="0.25">
      <c r="A23" s="54" t="str">
        <f ca="1">IFERROR(__xludf.DUMMYFUNCTION("""COMPUTED_VALUE"""),"47QREB19D0006")</f>
        <v>47QREB19D0006</v>
      </c>
      <c r="B23" s="55" t="str">
        <f ca="1">IFERROR(__xludf.DUMMYFUNCTION("""COMPUTED_VALUE"""),"Ideation, Inc")</f>
        <v>Ideation, Inc</v>
      </c>
      <c r="C23" s="56" t="str">
        <f ca="1">IFERROR(__xludf.DUMMYFUNCTION("""COMPUTED_VALUE"""),"005806133")</f>
        <v>005806133</v>
      </c>
      <c r="D23" s="57" t="str">
        <f ca="1">IFERROR(__xludf.DUMMYFUNCTION("""COMPUTED_VALUE"""),"1768 Business Center Drive Suite 230
Reston, VA, 20190-5349 ")</f>
        <v xml:space="preserve">1768 Business Center Drive Suite 230
Reston, VA, 20190-5349 </v>
      </c>
      <c r="E23" s="58" t="str">
        <f ca="1">IFERROR(__xludf.DUMMYFUNCTION("""COMPUTED_VALUE"""),"Yes")</f>
        <v>Yes</v>
      </c>
      <c r="F23" s="58" t="str">
        <f ca="1">IFERROR(__xludf.DUMMYFUNCTION("""COMPUTED_VALUE"""),"...")</f>
        <v>...</v>
      </c>
      <c r="G23" s="58" t="str">
        <f ca="1">IFERROR(__xludf.DUMMYFUNCTION("""COMPUTED_VALUE"""),"...")</f>
        <v>...</v>
      </c>
      <c r="H23" s="58" t="str">
        <f ca="1">IFERROR(__xludf.DUMMYFUNCTION("""COMPUTED_VALUE"""),"...")</f>
        <v>...</v>
      </c>
      <c r="I23" s="58" t="str">
        <f ca="1">IFERROR(__xludf.DUMMYFUNCTION("""COMPUTED_VALUE"""),"...")</f>
        <v>...</v>
      </c>
      <c r="J23" s="58" t="str">
        <f ca="1">IFERROR(__xludf.DUMMYFUNCTION("""COMPUTED_VALUE"""),"...")</f>
        <v>...</v>
      </c>
      <c r="K23" s="58" t="str">
        <f ca="1">IFERROR(__xludf.DUMMYFUNCTION("""COMPUTED_VALUE"""),"...")</f>
        <v>...</v>
      </c>
      <c r="L23" s="59" t="str">
        <f ca="1">IFERROR(__xludf.DUMMYFUNCTION("""COMPUTED_VALUE"""),"joanna.wagschal@ideationinc.com")</f>
        <v>joanna.wagschal@ideationinc.com</v>
      </c>
      <c r="M23" s="59" t="str">
        <f ca="1">IFERROR(__xludf.DUMMYFUNCTION("""COMPUTED_VALUE"""),"JoAnna Wagschal")</f>
        <v>JoAnna Wagschal</v>
      </c>
      <c r="N23" s="59" t="str">
        <f ca="1">IFERROR(__xludf.DUMMYFUNCTION("""COMPUTED_VALUE"""),"joanna.wagschal@ideationinc.com")</f>
        <v>joanna.wagschal@ideationinc.com</v>
      </c>
      <c r="O23" s="59" t="str">
        <f ca="1">IFERROR(__xludf.DUMMYFUNCTION("""COMPUTED_VALUE"""),"410-441-1696")</f>
        <v>410-441-1696</v>
      </c>
      <c r="P23" s="59" t="str">
        <f ca="1">IFERROR(__xludf.DUMMYFUNCTION("""COMPUTED_VALUE"""),"Anita Tipler ")</f>
        <v xml:space="preserve">Anita Tipler </v>
      </c>
      <c r="Q23" s="59" t="str">
        <f ca="1">IFERROR(__xludf.DUMMYFUNCTION("""COMPUTED_VALUE"""),"anita.tipler@ideationinc.com")</f>
        <v>anita.tipler@ideationinc.com</v>
      </c>
      <c r="R23" s="59" t="str">
        <f ca="1">IFERROR(__xludf.DUMMYFUNCTION("""COMPUTED_VALUE"""),"703-597-7592")</f>
        <v>703-597-7592</v>
      </c>
    </row>
    <row r="24" spans="1:18" ht="30" x14ac:dyDescent="0.25">
      <c r="A24" s="48" t="str">
        <f ca="1">IFERROR(__xludf.DUMMYFUNCTION("""COMPUTED_VALUE"""),"47QREB19D0008")</f>
        <v>47QREB19D0008</v>
      </c>
      <c r="B24" s="49" t="str">
        <f ca="1">IFERROR(__xludf.DUMMYFUNCTION("""COMPUTED_VALUE"""),"LinkVisum Consulting Group, Inc")</f>
        <v>LinkVisum Consulting Group, Inc</v>
      </c>
      <c r="C24" s="50" t="str">
        <f ca="1">IFERROR(__xludf.DUMMYFUNCTION("""COMPUTED_VALUE"""),"798244468")</f>
        <v>798244468</v>
      </c>
      <c r="D24" s="51" t="str">
        <f ca="1">IFERROR(__xludf.DUMMYFUNCTION("""COMPUTED_VALUE"""),"8300 Boone Blvd., Suite 730, Vienna, VA 22182")</f>
        <v>8300 Boone Blvd., Suite 730, Vienna, VA 22182</v>
      </c>
      <c r="E24" s="52" t="str">
        <f ca="1">IFERROR(__xludf.DUMMYFUNCTION("""COMPUTED_VALUE"""),"Yes")</f>
        <v>Yes</v>
      </c>
      <c r="F24" s="52" t="str">
        <f ca="1">IFERROR(__xludf.DUMMYFUNCTION("""COMPUTED_VALUE"""),"...")</f>
        <v>...</v>
      </c>
      <c r="G24" s="52" t="str">
        <f ca="1">IFERROR(__xludf.DUMMYFUNCTION("""COMPUTED_VALUE"""),"...")</f>
        <v>...</v>
      </c>
      <c r="H24" s="52" t="str">
        <f ca="1">IFERROR(__xludf.DUMMYFUNCTION("""COMPUTED_VALUE"""),"...")</f>
        <v>...</v>
      </c>
      <c r="I24" s="52" t="str">
        <f ca="1">IFERROR(__xludf.DUMMYFUNCTION("""COMPUTED_VALUE"""),"...")</f>
        <v>...</v>
      </c>
      <c r="J24" s="52" t="str">
        <f ca="1">IFERROR(__xludf.DUMMYFUNCTION("""COMPUTED_VALUE"""),"Yes")</f>
        <v>Yes</v>
      </c>
      <c r="K24" s="52" t="str">
        <f ca="1">IFERROR(__xludf.DUMMYFUNCTION("""COMPUTED_VALUE"""),"...")</f>
        <v>...</v>
      </c>
      <c r="L24" s="53" t="str">
        <f ca="1">IFERROR(__xludf.DUMMYFUNCTION("""COMPUTED_VALUE"""),"HCATS@linkvisum.com")</f>
        <v>HCATS@linkvisum.com</v>
      </c>
      <c r="M24" s="53" t="str">
        <f ca="1">IFERROR(__xludf.DUMMYFUNCTION("""COMPUTED_VALUE"""),"Keith Moody")</f>
        <v>Keith Moody</v>
      </c>
      <c r="N24" s="53" t="str">
        <f ca="1">IFERROR(__xludf.DUMMYFUNCTION("""COMPUTED_VALUE"""),"kmoody@linkvisum.com")</f>
        <v>kmoody@linkvisum.com</v>
      </c>
      <c r="O24" s="53" t="str">
        <f ca="1">IFERROR(__xludf.DUMMYFUNCTION("""COMPUTED_VALUE"""),"(703) 442-4575")</f>
        <v>(703) 442-4575</v>
      </c>
      <c r="P24" s="53" t="str">
        <f ca="1">IFERROR(__xludf.DUMMYFUNCTION("""COMPUTED_VALUE"""),"Joyce Harvey")</f>
        <v>Joyce Harvey</v>
      </c>
      <c r="Q24" s="53" t="str">
        <f ca="1">IFERROR(__xludf.DUMMYFUNCTION("""COMPUTED_VALUE"""),"jharvey@linkvisum.com, rschmitz@linkvisum.com")</f>
        <v>jharvey@linkvisum.com, rschmitz@linkvisum.com</v>
      </c>
      <c r="R24" s="53" t="str">
        <f ca="1">IFERROR(__xludf.DUMMYFUNCTION("""COMPUTED_VALUE"""),"(703) 405-9237")</f>
        <v>(703) 405-9237</v>
      </c>
    </row>
    <row r="25" spans="1:18" ht="30" x14ac:dyDescent="0.25">
      <c r="A25" s="54" t="str">
        <f ca="1">IFERROR(__xludf.DUMMYFUNCTION("""COMPUTED_VALUE"""),"47QREB19D0010")</f>
        <v>47QREB19D0010</v>
      </c>
      <c r="B25" s="55" t="str">
        <f ca="1">IFERROR(__xludf.DUMMYFUNCTION("""COMPUTED_VALUE"""),"METCOR Ltd. DBA Learning Systems International (LSI)")</f>
        <v>METCOR Ltd. DBA Learning Systems International (LSI)</v>
      </c>
      <c r="C25" s="56" t="str">
        <f ca="1">IFERROR(__xludf.DUMMYFUNCTION("""COMPUTED_VALUE"""),"026894972")</f>
        <v>026894972</v>
      </c>
      <c r="D25" s="57" t="str">
        <f ca="1">IFERROR(__xludf.DUMMYFUNCTION("""COMPUTED_VALUE"""),"1500 K ST NW STE 350
Washington, DC, 20005-1217")</f>
        <v>1500 K ST NW STE 350
Washington, DC, 20005-1217</v>
      </c>
      <c r="E25" s="58" t="str">
        <f ca="1">IFERROR(__xludf.DUMMYFUNCTION("""COMPUTED_VALUE"""),"...")</f>
        <v>...</v>
      </c>
      <c r="F25" s="58" t="str">
        <f ca="1">IFERROR(__xludf.DUMMYFUNCTION("""COMPUTED_VALUE"""),"...")</f>
        <v>...</v>
      </c>
      <c r="G25" s="58" t="str">
        <f ca="1">IFERROR(__xludf.DUMMYFUNCTION("""COMPUTED_VALUE"""),"Yes")</f>
        <v>Yes</v>
      </c>
      <c r="H25" s="58" t="str">
        <f ca="1">IFERROR(__xludf.DUMMYFUNCTION("""COMPUTED_VALUE"""),"...")</f>
        <v>...</v>
      </c>
      <c r="I25" s="58" t="str">
        <f ca="1">IFERROR(__xludf.DUMMYFUNCTION("""COMPUTED_VALUE"""),"Yes")</f>
        <v>Yes</v>
      </c>
      <c r="J25" s="58" t="str">
        <f ca="1">IFERROR(__xludf.DUMMYFUNCTION("""COMPUTED_VALUE"""),"...")</f>
        <v>...</v>
      </c>
      <c r="K25" s="58" t="str">
        <f ca="1">IFERROR(__xludf.DUMMYFUNCTION("""COMPUTED_VALUE"""),"...")</f>
        <v>...</v>
      </c>
      <c r="L25" s="59" t="str">
        <f ca="1">IFERROR(__xludf.DUMMYFUNCTION("""COMPUTED_VALUE"""),"hcats@lsidc.com")</f>
        <v>hcats@lsidc.com</v>
      </c>
      <c r="M25" s="59" t="str">
        <f ca="1">IFERROR(__xludf.DUMMYFUNCTION("""COMPUTED_VALUE"""),"Stacey Friedman")</f>
        <v>Stacey Friedman</v>
      </c>
      <c r="N25" s="59" t="str">
        <f ca="1">IFERROR(__xludf.DUMMYFUNCTION("""COMPUTED_VALUE"""),"hcatspm@lsidc.com")</f>
        <v>hcatspm@lsidc.com</v>
      </c>
      <c r="O25" s="59" t="str">
        <f ca="1">IFERROR(__xludf.DUMMYFUNCTION("""COMPUTED_VALUE"""),"202-904-3287")</f>
        <v>202-904-3287</v>
      </c>
      <c r="P25" s="59" t="str">
        <f ca="1">IFERROR(__xludf.DUMMYFUNCTION("""COMPUTED_VALUE"""),"Joanne M. Dorval")</f>
        <v>Joanne M. Dorval</v>
      </c>
      <c r="Q25" s="59" t="str">
        <f ca="1">IFERROR(__xludf.DUMMYFUNCTION("""COMPUTED_VALUE"""),"hcatscm@lsidc.com")</f>
        <v>hcatscm@lsidc.com</v>
      </c>
      <c r="R25" s="59" t="str">
        <f ca="1">IFERROR(__xludf.DUMMYFUNCTION("""COMPUTED_VALUE"""),"202-638-2788")</f>
        <v>202-638-2788</v>
      </c>
    </row>
    <row r="26" spans="1:18" ht="30" x14ac:dyDescent="0.25">
      <c r="A26" s="48" t="str">
        <f ca="1">IFERROR(__xludf.DUMMYFUNCTION("""COMPUTED_VALUE"""),"GS02Q16DCR0078")</f>
        <v>GS02Q16DCR0078</v>
      </c>
      <c r="B26" s="49" t="str">
        <f ca="1">IFERROR(__xludf.DUMMYFUNCTION("""COMPUTED_VALUE"""),"Pherson Associates, LLC")</f>
        <v>Pherson Associates, LLC</v>
      </c>
      <c r="C26" s="50" t="str">
        <f ca="1">IFERROR(__xludf.DUMMYFUNCTION("""COMPUTED_VALUE"""),"136659054")</f>
        <v>136659054</v>
      </c>
      <c r="D26" s="51" t="str">
        <f ca="1">IFERROR(__xludf.DUMMYFUNCTION("""COMPUTED_VALUE"""),"9902 Deerfield Pond Dr. Great Falls, VA 22066")</f>
        <v>9902 Deerfield Pond Dr. Great Falls, VA 22066</v>
      </c>
      <c r="E26" s="52" t="str">
        <f ca="1">IFERROR(__xludf.DUMMYFUNCTION("""COMPUTED_VALUE"""),"...")</f>
        <v>...</v>
      </c>
      <c r="F26" s="52" t="str">
        <f ca="1">IFERROR(__xludf.DUMMYFUNCTION("""COMPUTED_VALUE"""),"...")</f>
        <v>...</v>
      </c>
      <c r="G26" s="52" t="str">
        <f ca="1">IFERROR(__xludf.DUMMYFUNCTION("""COMPUTED_VALUE"""),"...")</f>
        <v>...</v>
      </c>
      <c r="H26" s="52" t="str">
        <f ca="1">IFERROR(__xludf.DUMMYFUNCTION("""COMPUTED_VALUE"""),"...")</f>
        <v>...</v>
      </c>
      <c r="I26" s="52" t="str">
        <f ca="1">IFERROR(__xludf.DUMMYFUNCTION("""COMPUTED_VALUE"""),"...")</f>
        <v>...</v>
      </c>
      <c r="J26" s="52" t="str">
        <f ca="1">IFERROR(__xludf.DUMMYFUNCTION("""COMPUTED_VALUE"""),"Yes")</f>
        <v>Yes</v>
      </c>
      <c r="K26" s="52" t="str">
        <f ca="1">IFERROR(__xludf.DUMMYFUNCTION("""COMPUTED_VALUE"""),"Yes")</f>
        <v>Yes</v>
      </c>
      <c r="L26" s="53" t="str">
        <f ca="1">IFERROR(__xludf.DUMMYFUNCTION("""COMPUTED_VALUE"""),"HCATS@Pherson.org")</f>
        <v>HCATS@Pherson.org</v>
      </c>
      <c r="M26" s="53" t="str">
        <f ca="1">IFERROR(__xludf.DUMMYFUNCTION("""COMPUTED_VALUE"""),"Diana Pittman")</f>
        <v>Diana Pittman</v>
      </c>
      <c r="N26" s="53" t="str">
        <f ca="1">IFERROR(__xludf.DUMMYFUNCTION("""COMPUTED_VALUE"""),"dpittman@pherson.org")</f>
        <v>dpittman@pherson.org</v>
      </c>
      <c r="O26" s="53" t="str">
        <f ca="1">IFERROR(__xludf.DUMMYFUNCTION("""COMPUTED_VALUE"""),"571-213-6306")</f>
        <v>571-213-6306</v>
      </c>
      <c r="P26" s="53" t="str">
        <f ca="1">IFERROR(__xludf.DUMMYFUNCTION("""COMPUTED_VALUE"""),"Alysa Gander")</f>
        <v>Alysa Gander</v>
      </c>
      <c r="Q26" s="53" t="str">
        <f ca="1">IFERROR(__xludf.DUMMYFUNCTION("""COMPUTED_VALUE"""),"agander@pherson.org")</f>
        <v>agander@pherson.org</v>
      </c>
      <c r="R26" s="53" t="str">
        <f ca="1">IFERROR(__xludf.DUMMYFUNCTION("""COMPUTED_VALUE"""),"7035817425")</f>
        <v>7035817425</v>
      </c>
    </row>
    <row r="27" spans="1:18" ht="30" x14ac:dyDescent="0.25">
      <c r="A27" s="54" t="str">
        <f ca="1">IFERROR(__xludf.DUMMYFUNCTION("""COMPUTED_VALUE"""),"GS02Q16DCR0079")</f>
        <v>GS02Q16DCR0079</v>
      </c>
      <c r="B27" s="55" t="str">
        <f ca="1">IFERROR(__xludf.DUMMYFUNCTION("""COMPUTED_VALUE"""),"Piton Science &amp; Technology LLC")</f>
        <v>Piton Science &amp; Technology LLC</v>
      </c>
      <c r="C27" s="56" t="str">
        <f ca="1">IFERROR(__xludf.DUMMYFUNCTION("""COMPUTED_VALUE"""),"786931050")</f>
        <v>786931050</v>
      </c>
      <c r="D27" s="57" t="str">
        <f ca="1">IFERROR(__xludf.DUMMYFUNCTION("""COMPUTED_VALUE"""),"2696 Linda Marie Drive, Oakton, VA 22124-1111")</f>
        <v>2696 Linda Marie Drive, Oakton, VA 22124-1111</v>
      </c>
      <c r="E27" s="58" t="str">
        <f ca="1">IFERROR(__xludf.DUMMYFUNCTION("""COMPUTED_VALUE"""),"...")</f>
        <v>...</v>
      </c>
      <c r="F27" s="58" t="str">
        <f ca="1">IFERROR(__xludf.DUMMYFUNCTION("""COMPUTED_VALUE"""),"...")</f>
        <v>...</v>
      </c>
      <c r="G27" s="58" t="str">
        <f ca="1">IFERROR(__xludf.DUMMYFUNCTION("""COMPUTED_VALUE"""),"Yes")</f>
        <v>Yes</v>
      </c>
      <c r="H27" s="58" t="str">
        <f ca="1">IFERROR(__xludf.DUMMYFUNCTION("""COMPUTED_VALUE"""),"Yes")</f>
        <v>Yes</v>
      </c>
      <c r="I27" s="58" t="str">
        <f ca="1">IFERROR(__xludf.DUMMYFUNCTION("""COMPUTED_VALUE"""),"...")</f>
        <v>...</v>
      </c>
      <c r="J27" s="58" t="str">
        <f ca="1">IFERROR(__xludf.DUMMYFUNCTION("""COMPUTED_VALUE"""),"...")</f>
        <v>...</v>
      </c>
      <c r="K27" s="58" t="str">
        <f ca="1">IFERROR(__xludf.DUMMYFUNCTION("""COMPUTED_VALUE"""),"...")</f>
        <v>...</v>
      </c>
      <c r="L27" s="59" t="str">
        <f ca="1">IFERROR(__xludf.DUMMYFUNCTION("""COMPUTED_VALUE"""),"UHCATS@pitonscience.com")</f>
        <v>UHCATS@pitonscience.com</v>
      </c>
      <c r="M27" s="59" t="str">
        <f ca="1">IFERROR(__xludf.DUMMYFUNCTION("""COMPUTED_VALUE"""),"William S. Murphy Jr.")</f>
        <v>William S. Murphy Jr.</v>
      </c>
      <c r="N27" s="59" t="str">
        <f ca="1">IFERROR(__xludf.DUMMYFUNCTION("""COMPUTED_VALUE"""),"murphyw@pitonscience.com")</f>
        <v>murphyw@pitonscience.com</v>
      </c>
      <c r="O27" s="59" t="str">
        <f ca="1">IFERROR(__xludf.DUMMYFUNCTION("""COMPUTED_VALUE"""),"703-349-3879")</f>
        <v>703-349-3879</v>
      </c>
      <c r="P27" s="59" t="str">
        <f ca="1">IFERROR(__xludf.DUMMYFUNCTION("""COMPUTED_VALUE"""),"Charles Pate")</f>
        <v>Charles Pate</v>
      </c>
      <c r="Q27" s="59" t="str">
        <f ca="1">IFERROR(__xludf.DUMMYFUNCTION("""COMPUTED_VALUE"""),"patec@pitonscience.com")</f>
        <v>patec@pitonscience.com</v>
      </c>
      <c r="R27" s="59" t="str">
        <f ca="1">IFERROR(__xludf.DUMMYFUNCTION("""COMPUTED_VALUE"""),"703-309-6922")</f>
        <v>703-309-6922</v>
      </c>
    </row>
    <row r="28" spans="1:18" ht="30" x14ac:dyDescent="0.25">
      <c r="A28" s="48" t="str">
        <f ca="1">IFERROR(__xludf.DUMMYFUNCTION("""COMPUTED_VALUE"""),"47QREB19D0007")</f>
        <v>47QREB19D0007</v>
      </c>
      <c r="B28" s="49" t="str">
        <f ca="1">IFERROR(__xludf.DUMMYFUNCTION("""COMPUTED_VALUE"""),"Prometheus Federal Services")</f>
        <v>Prometheus Federal Services</v>
      </c>
      <c r="C28" s="50" t="str">
        <f ca="1">IFERROR(__xludf.DUMMYFUNCTION("""COMPUTED_VALUE"""),"080014960")</f>
        <v>080014960</v>
      </c>
      <c r="D28" s="51" t="str">
        <f ca="1">IFERROR(__xludf.DUMMYFUNCTION("""COMPUTED_VALUE"""),"13846 Rembrandt Way
Chantilly, VA, 20151-3255 ")</f>
        <v xml:space="preserve">13846 Rembrandt Way
Chantilly, VA, 20151-3255 </v>
      </c>
      <c r="E28" s="52" t="str">
        <f ca="1">IFERROR(__xludf.DUMMYFUNCTION("""COMPUTED_VALUE"""),"...")</f>
        <v>...</v>
      </c>
      <c r="F28" s="52" t="str">
        <f ca="1">IFERROR(__xludf.DUMMYFUNCTION("""COMPUTED_VALUE"""),"...")</f>
        <v>...</v>
      </c>
      <c r="G28" s="52" t="str">
        <f ca="1">IFERROR(__xludf.DUMMYFUNCTION("""COMPUTED_VALUE"""),"Yes")</f>
        <v>Yes</v>
      </c>
      <c r="H28" s="52" t="str">
        <f ca="1">IFERROR(__xludf.DUMMYFUNCTION("""COMPUTED_VALUE"""),"Yes")</f>
        <v>Yes</v>
      </c>
      <c r="I28" s="52" t="str">
        <f ca="1">IFERROR(__xludf.DUMMYFUNCTION("""COMPUTED_VALUE"""),"Yes")</f>
        <v>Yes</v>
      </c>
      <c r="J28" s="52" t="str">
        <f ca="1">IFERROR(__xludf.DUMMYFUNCTION("""COMPUTED_VALUE"""),"...")</f>
        <v>...</v>
      </c>
      <c r="K28" s="52" t="str">
        <f ca="1">IFERROR(__xludf.DUMMYFUNCTION("""COMPUTED_VALUE"""),"...")</f>
        <v>...</v>
      </c>
      <c r="L28" s="53" t="str">
        <f ca="1">IFERROR(__xludf.DUMMYFUNCTION("""COMPUTED_VALUE"""),"HCaTS@pfs.us")</f>
        <v>HCaTS@pfs.us</v>
      </c>
      <c r="M28" s="53" t="str">
        <f ca="1">IFERROR(__xludf.DUMMYFUNCTION("""COMPUTED_VALUE"""),"Greg Smallwood")</f>
        <v>Greg Smallwood</v>
      </c>
      <c r="N28" s="53" t="str">
        <f ca="1">IFERROR(__xludf.DUMMYFUNCTION("""COMPUTED_VALUE"""),"gsmallwood@pfs.us")</f>
        <v>gsmallwood@pfs.us</v>
      </c>
      <c r="O28" s="53" t="str">
        <f ca="1">IFERROR(__xludf.DUMMYFUNCTION("""COMPUTED_VALUE"""),"(609) 402-1792")</f>
        <v>(609) 402-1792</v>
      </c>
      <c r="P28" s="53" t="str">
        <f ca="1">IFERROR(__xludf.DUMMYFUNCTION("""COMPUTED_VALUE"""),"Shawn Boo")</f>
        <v>Shawn Boo</v>
      </c>
      <c r="Q28" s="53" t="str">
        <f ca="1">IFERROR(__xludf.DUMMYFUNCTION("""COMPUTED_VALUE"""),"sboo@pfs.us, dseelke@pfs.us")</f>
        <v>sboo@pfs.us, dseelke@pfs.us</v>
      </c>
      <c r="R28" s="53" t="str">
        <f ca="1">IFERROR(__xludf.DUMMYFUNCTION("""COMPUTED_VALUE"""),"703-217-2699")</f>
        <v>703-217-2699</v>
      </c>
    </row>
    <row r="29" spans="1:18" ht="30" x14ac:dyDescent="0.25">
      <c r="A29" s="54" t="str">
        <f ca="1">IFERROR(__xludf.DUMMYFUNCTION("""COMPUTED_VALUE"""),"47QREB19D0015")</f>
        <v>47QREB19D0015</v>
      </c>
      <c r="B29" s="55" t="str">
        <f ca="1">IFERROR(__xludf.DUMMYFUNCTION("""COMPUTED_VALUE"""),"R3 Government Solutions, LLC")</f>
        <v>R3 Government Solutions, LLC</v>
      </c>
      <c r="C29" s="56" t="str">
        <f ca="1">IFERROR(__xludf.DUMMYFUNCTION("""COMPUTED_VALUE"""),"831214619")</f>
        <v>831214619</v>
      </c>
      <c r="D29" s="57" t="str">
        <f ca="1">IFERROR(__xludf.DUMMYFUNCTION("""COMPUTED_VALUE"""),"4201 Wilson Boulevard, 3rd Floor, Arlington, VA 22203")</f>
        <v>4201 Wilson Boulevard, 3rd Floor, Arlington, VA 22203</v>
      </c>
      <c r="E29" s="58" t="str">
        <f ca="1">IFERROR(__xludf.DUMMYFUNCTION("""COMPUTED_VALUE"""),"...")</f>
        <v>...</v>
      </c>
      <c r="F29" s="58" t="str">
        <f ca="1">IFERROR(__xludf.DUMMYFUNCTION("""COMPUTED_VALUE"""),"...")</f>
        <v>...</v>
      </c>
      <c r="G29" s="58" t="str">
        <f ca="1">IFERROR(__xludf.DUMMYFUNCTION("""COMPUTED_VALUE"""),"...")</f>
        <v>...</v>
      </c>
      <c r="H29" s="58" t="str">
        <f ca="1">IFERROR(__xludf.DUMMYFUNCTION("""COMPUTED_VALUE"""),"...")</f>
        <v>...</v>
      </c>
      <c r="I29" s="58" t="str">
        <f ca="1">IFERROR(__xludf.DUMMYFUNCTION("""COMPUTED_VALUE"""),"...")</f>
        <v>...</v>
      </c>
      <c r="J29" s="58" t="str">
        <f ca="1">IFERROR(__xludf.DUMMYFUNCTION("""COMPUTED_VALUE"""),"Yes")</f>
        <v>Yes</v>
      </c>
      <c r="K29" s="58" t="str">
        <f ca="1">IFERROR(__xludf.DUMMYFUNCTION("""COMPUTED_VALUE"""),"...")</f>
        <v>...</v>
      </c>
      <c r="L29" s="59" t="str">
        <f ca="1">IFERROR(__xludf.DUMMYFUNCTION("""COMPUTED_VALUE"""),"HCaTS-SB@r3consulting.com")</f>
        <v>HCaTS-SB@r3consulting.com</v>
      </c>
      <c r="M29" s="59" t="str">
        <f ca="1">IFERROR(__xludf.DUMMYFUNCTION("""COMPUTED_VALUE"""),"Kristin Berry")</f>
        <v>Kristin Berry</v>
      </c>
      <c r="N29" s="59" t="str">
        <f ca="1">IFERROR(__xludf.DUMMYFUNCTION("""COMPUTED_VALUE"""),"kberry@r3consulting.com")</f>
        <v>kberry@r3consulting.com</v>
      </c>
      <c r="O29" s="59" t="str">
        <f ca="1">IFERROR(__xludf.DUMMYFUNCTION("""COMPUTED_VALUE"""),"703-662-4525")</f>
        <v>703-662-4525</v>
      </c>
      <c r="P29" s="59" t="str">
        <f ca="1">IFERROR(__xludf.DUMMYFUNCTION("""COMPUTED_VALUE"""),"Justin Johnson")</f>
        <v>Justin Johnson</v>
      </c>
      <c r="Q29" s="59" t="str">
        <f ca="1">IFERROR(__xludf.DUMMYFUNCTION("""COMPUTED_VALUE"""),"jjohnson@r3consulting.com")</f>
        <v>jjohnson@r3consulting.com</v>
      </c>
      <c r="R29" s="59" t="str">
        <f ca="1">IFERROR(__xludf.DUMMYFUNCTION("""COMPUTED_VALUE"""),"573-529-8620")</f>
        <v>573-529-8620</v>
      </c>
    </row>
    <row r="30" spans="1:18" ht="30" x14ac:dyDescent="0.25">
      <c r="A30" s="48" t="str">
        <f ca="1">IFERROR(__xludf.DUMMYFUNCTION("""COMPUTED_VALUE"""),"47QREB19D0017")</f>
        <v>47QREB19D0017</v>
      </c>
      <c r="B30" s="49" t="str">
        <f ca="1">IFERROR(__xludf.DUMMYFUNCTION("""COMPUTED_VALUE"""),"Reed Integration, Inc")</f>
        <v>Reed Integration, Inc</v>
      </c>
      <c r="C30" s="50" t="str">
        <f ca="1">IFERROR(__xludf.DUMMYFUNCTION("""COMPUTED_VALUE"""),"124777058")</f>
        <v>124777058</v>
      </c>
      <c r="D30" s="51" t="str">
        <f ca="1">IFERROR(__xludf.DUMMYFUNCTION("""COMPUTED_VALUE"""),"7007 Harbour View Bldv Ste 117
Suffolk, VA, 23435-3657 ")</f>
        <v xml:space="preserve">7007 Harbour View Bldv Ste 117
Suffolk, VA, 23435-3657 </v>
      </c>
      <c r="E30" s="52" t="str">
        <f ca="1">IFERROR(__xludf.DUMMYFUNCTION("""COMPUTED_VALUE"""),"...")</f>
        <v>...</v>
      </c>
      <c r="F30" s="52" t="str">
        <f ca="1">IFERROR(__xludf.DUMMYFUNCTION("""COMPUTED_VALUE"""),"...")</f>
        <v>...</v>
      </c>
      <c r="G30" s="52" t="str">
        <f ca="1">IFERROR(__xludf.DUMMYFUNCTION("""COMPUTED_VALUE"""),"...")</f>
        <v>...</v>
      </c>
      <c r="H30" s="52" t="str">
        <f ca="1">IFERROR(__xludf.DUMMYFUNCTION("""COMPUTED_VALUE"""),"...")</f>
        <v>...</v>
      </c>
      <c r="I30" s="52" t="str">
        <f ca="1">IFERROR(__xludf.DUMMYFUNCTION("""COMPUTED_VALUE"""),"...")</f>
        <v>...</v>
      </c>
      <c r="J30" s="52" t="str">
        <f ca="1">IFERROR(__xludf.DUMMYFUNCTION("""COMPUTED_VALUE"""),"Yes")</f>
        <v>Yes</v>
      </c>
      <c r="K30" s="52" t="str">
        <f ca="1">IFERROR(__xludf.DUMMYFUNCTION("""COMPUTED_VALUE"""),"Yes")</f>
        <v>Yes</v>
      </c>
      <c r="L30" s="53" t="str">
        <f ca="1">IFERROR(__xludf.DUMMYFUNCTION("""COMPUTED_VALUE"""),"hcats@reedintegration.com")</f>
        <v>hcats@reedintegration.com</v>
      </c>
      <c r="M30" s="53" t="str">
        <f ca="1">IFERROR(__xludf.DUMMYFUNCTION("""COMPUTED_VALUE"""),"Jonathan Bell")</f>
        <v>Jonathan Bell</v>
      </c>
      <c r="N30" s="53" t="str">
        <f ca="1">IFERROR(__xludf.DUMMYFUNCTION("""COMPUTED_VALUE"""),"jbell@reedintegration.com")</f>
        <v>jbell@reedintegration.com</v>
      </c>
      <c r="O30" s="53" t="str">
        <f ca="1">IFERROR(__xludf.DUMMYFUNCTION("""COMPUTED_VALUE"""),"757-541-8039")</f>
        <v>757-541-8039</v>
      </c>
      <c r="P30" s="53" t="str">
        <f ca="1">IFERROR(__xludf.DUMMYFUNCTION("""COMPUTED_VALUE"""),"Rebecca Reed")</f>
        <v>Rebecca Reed</v>
      </c>
      <c r="Q30" s="53" t="str">
        <f ca="1">IFERROR(__xludf.DUMMYFUNCTION("""COMPUTED_VALUE"""),"rreed@reedintegration.com")</f>
        <v>rreed@reedintegration.com</v>
      </c>
      <c r="R30" s="53" t="str">
        <f ca="1">IFERROR(__xludf.DUMMYFUNCTION("""COMPUTED_VALUE"""),"757-638-3238")</f>
        <v>757-638-3238</v>
      </c>
    </row>
    <row r="31" spans="1:18" ht="30" x14ac:dyDescent="0.25">
      <c r="A31" s="54" t="str">
        <f ca="1">IFERROR(__xludf.DUMMYFUNCTION("""COMPUTED_VALUE"""),"47QREB19D0025")</f>
        <v>47QREB19D0025</v>
      </c>
      <c r="B31" s="55" t="str">
        <f ca="1">IFERROR(__xludf.DUMMYFUNCTION("""COMPUTED_VALUE"""),"Synovix FKA Whitespace Innovations, Inc")</f>
        <v>Synovix FKA Whitespace Innovations, Inc</v>
      </c>
      <c r="C31" s="56" t="str">
        <f ca="1">IFERROR(__xludf.DUMMYFUNCTION("""COMPUTED_VALUE"""),"079584395")</f>
        <v>079584395</v>
      </c>
      <c r="D31" s="57" t="str">
        <f ca="1">IFERROR(__xludf.DUMMYFUNCTION("""COMPUTED_VALUE"""),"4900 Corporate Drive NW, Suite A
Huntsville, AL 35805-6214")</f>
        <v>4900 Corporate Drive NW, Suite A
Huntsville, AL 35805-6214</v>
      </c>
      <c r="E31" s="58" t="str">
        <f ca="1">IFERROR(__xludf.DUMMYFUNCTION("""COMPUTED_VALUE"""),"...")</f>
        <v>...</v>
      </c>
      <c r="F31" s="58" t="str">
        <f ca="1">IFERROR(__xludf.DUMMYFUNCTION("""COMPUTED_VALUE"""),"...")</f>
        <v>...</v>
      </c>
      <c r="G31" s="58" t="str">
        <f ca="1">IFERROR(__xludf.DUMMYFUNCTION("""COMPUTED_VALUE"""),"Yes")</f>
        <v>Yes</v>
      </c>
      <c r="H31" s="58" t="str">
        <f ca="1">IFERROR(__xludf.DUMMYFUNCTION("""COMPUTED_VALUE"""),"...")</f>
        <v>...</v>
      </c>
      <c r="I31" s="58" t="str">
        <f ca="1">IFERROR(__xludf.DUMMYFUNCTION("""COMPUTED_VALUE"""),"...")</f>
        <v>...</v>
      </c>
      <c r="J31" s="58" t="str">
        <f ca="1">IFERROR(__xludf.DUMMYFUNCTION("""COMPUTED_VALUE"""),"...")</f>
        <v>...</v>
      </c>
      <c r="K31" s="58" t="str">
        <f ca="1">IFERROR(__xludf.DUMMYFUNCTION("""COMPUTED_VALUE"""),"...")</f>
        <v>...</v>
      </c>
      <c r="L31" s="59" t="str">
        <f ca="1">IFERROR(__xludf.DUMMYFUNCTION("""COMPUTED_VALUE"""),"hcats@whitespaceinnovations.com")</f>
        <v>hcats@whitespaceinnovations.com</v>
      </c>
      <c r="M31" s="59" t="str">
        <f ca="1">IFERROR(__xludf.DUMMYFUNCTION("""COMPUTED_VALUE"""),"Dr. Joe Green")</f>
        <v>Dr. Joe Green</v>
      </c>
      <c r="N31" s="59" t="str">
        <f ca="1">IFERROR(__xludf.DUMMYFUNCTION("""COMPUTED_VALUE"""),"joe.green@synovix.com")</f>
        <v>joe.green@synovix.com</v>
      </c>
      <c r="O31" s="59" t="str">
        <f ca="1">IFERROR(__xludf.DUMMYFUNCTION("""COMPUTED_VALUE"""),"938-238-3740")</f>
        <v>938-238-3740</v>
      </c>
      <c r="P31" s="59" t="str">
        <f ca="1">IFERROR(__xludf.DUMMYFUNCTION("""COMPUTED_VALUE"""),"Tom Houser")</f>
        <v>Tom Houser</v>
      </c>
      <c r="Q31" s="59" t="str">
        <f ca="1">IFERROR(__xludf.DUMMYFUNCTION("""COMPUTED_VALUE"""),"tom.houser@whitespaceinnovations.com")</f>
        <v>tom.houser@whitespaceinnovations.com</v>
      </c>
      <c r="R31" s="59" t="str">
        <f ca="1">IFERROR(__xludf.DUMMYFUNCTION("""COMPUTED_VALUE"""),"256-508-8851")</f>
        <v>256-508-8851</v>
      </c>
    </row>
    <row r="32" spans="1:18" ht="30" x14ac:dyDescent="0.25">
      <c r="A32" s="48" t="str">
        <f ca="1">IFERROR(__xludf.DUMMYFUNCTION("""COMPUTED_VALUE"""),"47QREB19D0019")</f>
        <v>47QREB19D0019</v>
      </c>
      <c r="B32" s="49" t="str">
        <f ca="1">IFERROR(__xludf.DUMMYFUNCTION("""COMPUTED_VALUE"""),"TADE Group LLC")</f>
        <v>TADE Group LLC</v>
      </c>
      <c r="C32" s="50" t="str">
        <f ca="1">IFERROR(__xludf.DUMMYFUNCTION("""COMPUTED_VALUE"""),"620059811")</f>
        <v>620059811</v>
      </c>
      <c r="D32" s="51" t="str">
        <f ca="1">IFERROR(__xludf.DUMMYFUNCTION("""COMPUTED_VALUE"""),"1725 I St NW Ste 300
Washington, DC, 20006-2423")</f>
        <v>1725 I St NW Ste 300
Washington, DC, 20006-2423</v>
      </c>
      <c r="E32" s="52" t="str">
        <f ca="1">IFERROR(__xludf.DUMMYFUNCTION("""COMPUTED_VALUE"""),"Yes")</f>
        <v>Yes</v>
      </c>
      <c r="F32" s="52" t="str">
        <f ca="1">IFERROR(__xludf.DUMMYFUNCTION("""COMPUTED_VALUE"""),"...")</f>
        <v>...</v>
      </c>
      <c r="G32" s="52" t="str">
        <f ca="1">IFERROR(__xludf.DUMMYFUNCTION("""COMPUTED_VALUE"""),"...")</f>
        <v>...</v>
      </c>
      <c r="H32" s="52" t="str">
        <f ca="1">IFERROR(__xludf.DUMMYFUNCTION("""COMPUTED_VALUE"""),"...")</f>
        <v>...</v>
      </c>
      <c r="I32" s="52" t="str">
        <f ca="1">IFERROR(__xludf.DUMMYFUNCTION("""COMPUTED_VALUE"""),"...")</f>
        <v>...</v>
      </c>
      <c r="J32" s="52" t="str">
        <f ca="1">IFERROR(__xludf.DUMMYFUNCTION("""COMPUTED_VALUE"""),"Yes")</f>
        <v>Yes</v>
      </c>
      <c r="K32" s="52" t="str">
        <f ca="1">IFERROR(__xludf.DUMMYFUNCTION("""COMPUTED_VALUE"""),"Yes")</f>
        <v>Yes</v>
      </c>
      <c r="L32" s="53" t="str">
        <f ca="1">IFERROR(__xludf.DUMMYFUNCTION("""COMPUTED_VALUE"""),"dorisd@tadegroup.com")</f>
        <v>dorisd@tadegroup.com</v>
      </c>
      <c r="M32" s="53" t="str">
        <f ca="1">IFERROR(__xludf.DUMMYFUNCTION("""COMPUTED_VALUE"""),"Doris D. Teye")</f>
        <v>Doris D. Teye</v>
      </c>
      <c r="N32" s="53" t="str">
        <f ca="1">IFERROR(__xludf.DUMMYFUNCTION("""COMPUTED_VALUE"""),"dorisd@tadegroup.com")</f>
        <v>dorisd@tadegroup.com</v>
      </c>
      <c r="O32" s="53" t="str">
        <f ca="1">IFERROR(__xludf.DUMMYFUNCTION("""COMPUTED_VALUE"""),"202-455-8291")</f>
        <v>202-455-8291</v>
      </c>
      <c r="P32" s="53" t="str">
        <f ca="1">IFERROR(__xludf.DUMMYFUNCTION("""COMPUTED_VALUE"""),"Meg Djorenchin")</f>
        <v>Meg Djorenchin</v>
      </c>
      <c r="Q32" s="53" t="str">
        <f ca="1">IFERROR(__xludf.DUMMYFUNCTION("""COMPUTED_VALUE"""),"megd@tadegroup.com")</f>
        <v>megd@tadegroup.com</v>
      </c>
      <c r="R32" s="53" t="str">
        <f ca="1">IFERROR(__xludf.DUMMYFUNCTION("""COMPUTED_VALUE"""),"202-455-8291")</f>
        <v>202-455-8291</v>
      </c>
    </row>
    <row r="33" spans="1:18" ht="45" x14ac:dyDescent="0.25">
      <c r="A33" s="54" t="str">
        <f ca="1">IFERROR(__xludf.DUMMYFUNCTION("""COMPUTED_VALUE"""),"47QREB19D0021")</f>
        <v>47QREB19D0021</v>
      </c>
      <c r="B33" s="55" t="str">
        <f ca="1">IFERROR(__xludf.DUMMYFUNCTION("""COMPUTED_VALUE"""),"Team Carney, Inc")</f>
        <v>Team Carney, Inc</v>
      </c>
      <c r="C33" s="56" t="str">
        <f ca="1">IFERROR(__xludf.DUMMYFUNCTION("""COMPUTED_VALUE"""),"869205930")</f>
        <v>869205930</v>
      </c>
      <c r="D33" s="57" t="str">
        <f ca="1">IFERROR(__xludf.DUMMYFUNCTION("""COMPUTED_VALUE"""),"7621 Admiral Dr.
Alexandria, VA 22308-1071
")</f>
        <v xml:space="preserve">7621 Admiral Dr.
Alexandria, VA 22308-1071
</v>
      </c>
      <c r="E33" s="58" t="str">
        <f ca="1">IFERROR(__xludf.DUMMYFUNCTION("""COMPUTED_VALUE"""),"...")</f>
        <v>...</v>
      </c>
      <c r="F33" s="58" t="str">
        <f ca="1">IFERROR(__xludf.DUMMYFUNCTION("""COMPUTED_VALUE"""),"...")</f>
        <v>...</v>
      </c>
      <c r="G33" s="58" t="str">
        <f ca="1">IFERROR(__xludf.DUMMYFUNCTION("""COMPUTED_VALUE"""),"...")</f>
        <v>...</v>
      </c>
      <c r="H33" s="58" t="str">
        <f ca="1">IFERROR(__xludf.DUMMYFUNCTION("""COMPUTED_VALUE"""),"...")</f>
        <v>...</v>
      </c>
      <c r="I33" s="58" t="str">
        <f ca="1">IFERROR(__xludf.DUMMYFUNCTION("""COMPUTED_VALUE"""),"...")</f>
        <v>...</v>
      </c>
      <c r="J33" s="58" t="str">
        <f ca="1">IFERROR(__xludf.DUMMYFUNCTION("""COMPUTED_VALUE"""),"...")</f>
        <v>...</v>
      </c>
      <c r="K33" s="58" t="str">
        <f ca="1">IFERROR(__xludf.DUMMYFUNCTION("""COMPUTED_VALUE"""),"...")</f>
        <v>...</v>
      </c>
      <c r="L33" s="59" t="str">
        <f ca="1">IFERROR(__xludf.DUMMYFUNCTION("""COMPUTED_VALUE"""),"hcats@teamcarney.com")</f>
        <v>hcats@teamcarney.com</v>
      </c>
      <c r="M33" s="59" t="str">
        <f ca="1">IFERROR(__xludf.DUMMYFUNCTION("""COMPUTED_VALUE"""),"David Morris")</f>
        <v>David Morris</v>
      </c>
      <c r="N33" s="59" t="str">
        <f ca="1">IFERROR(__xludf.DUMMYFUNCTION("""COMPUTED_VALUE"""),"david.morris@teamcarney.com")</f>
        <v>david.morris@teamcarney.com</v>
      </c>
      <c r="O33" s="59" t="str">
        <f ca="1">IFERROR(__xludf.DUMMYFUNCTION("""COMPUTED_VALUE"""),"(703) 956-5116")</f>
        <v>(703) 956-5116</v>
      </c>
      <c r="P33" s="59" t="str">
        <f ca="1">IFERROR(__xludf.DUMMYFUNCTION("""COMPUTED_VALUE"""),"Allen Price")</f>
        <v>Allen Price</v>
      </c>
      <c r="Q33" s="59" t="str">
        <f ca="1">IFERROR(__xludf.DUMMYFUNCTION("""COMPUTED_VALUE"""),"allen.price@teamcarney.com")</f>
        <v>allen.price@teamcarney.com</v>
      </c>
      <c r="R33" s="59" t="str">
        <f ca="1">IFERROR(__xludf.DUMMYFUNCTION("""COMPUTED_VALUE"""),"(703) 203-5440")</f>
        <v>(703) 203-5440</v>
      </c>
    </row>
    <row r="34" spans="1:18" ht="30" x14ac:dyDescent="0.25">
      <c r="A34" s="48" t="str">
        <f ca="1">IFERROR(__xludf.DUMMYFUNCTION("""COMPUTED_VALUE"""),"47QREB19D0011")</f>
        <v>47QREB19D0011</v>
      </c>
      <c r="B34" s="49" t="str">
        <f ca="1">IFERROR(__xludf.DUMMYFUNCTION("""COMPUTED_VALUE"""),"The Arbinger Company")</f>
        <v>The Arbinger Company</v>
      </c>
      <c r="C34" s="50" t="str">
        <f ca="1">IFERROR(__xludf.DUMMYFUNCTION("""COMPUTED_VALUE"""),"840239586")</f>
        <v>840239586</v>
      </c>
      <c r="D34" s="51" t="str">
        <f ca="1">IFERROR(__xludf.DUMMYFUNCTION("""COMPUTED_VALUE"""),"1379 N 1075 W Ste 100
Farmington, UT, 84025-2711")</f>
        <v>1379 N 1075 W Ste 100
Farmington, UT, 84025-2711</v>
      </c>
      <c r="E34" s="53" t="str">
        <f ca="1">IFERROR(__xludf.DUMMYFUNCTION("""COMPUTED_VALUE"""),"...")</f>
        <v>...</v>
      </c>
      <c r="F34" s="53" t="str">
        <f ca="1">IFERROR(__xludf.DUMMYFUNCTION("""COMPUTED_VALUE"""),"...")</f>
        <v>...</v>
      </c>
      <c r="G34" s="53" t="str">
        <f ca="1">IFERROR(__xludf.DUMMYFUNCTION("""COMPUTED_VALUE"""),"...")</f>
        <v>...</v>
      </c>
      <c r="H34" s="53" t="str">
        <f ca="1">IFERROR(__xludf.DUMMYFUNCTION("""COMPUTED_VALUE"""),"...")</f>
        <v>...</v>
      </c>
      <c r="I34" s="53" t="str">
        <f ca="1">IFERROR(__xludf.DUMMYFUNCTION("""COMPUTED_VALUE"""),"...")</f>
        <v>...</v>
      </c>
      <c r="J34" s="53" t="str">
        <f ca="1">IFERROR(__xludf.DUMMYFUNCTION("""COMPUTED_VALUE"""),"...")</f>
        <v>...</v>
      </c>
      <c r="K34" s="53" t="str">
        <f ca="1">IFERROR(__xludf.DUMMYFUNCTION("""COMPUTED_VALUE"""),"...")</f>
        <v>...</v>
      </c>
      <c r="L34" s="53" t="str">
        <f ca="1">IFERROR(__xludf.DUMMYFUNCTION("""COMPUTED_VALUE"""),"hcats@arbinger.com")</f>
        <v>hcats@arbinger.com</v>
      </c>
      <c r="M34" s="53" t="str">
        <f ca="1">IFERROR(__xludf.DUMMYFUNCTION("""COMPUTED_VALUE"""),"Cameron Cozzens")</f>
        <v>Cameron Cozzens</v>
      </c>
      <c r="N34" s="53" t="str">
        <f ca="1">IFERROR(__xludf.DUMMYFUNCTION("""COMPUTED_VALUE"""),"ccozzens@arbinger.com")</f>
        <v>ccozzens@arbinger.com</v>
      </c>
      <c r="O34" s="53" t="str">
        <f ca="1">IFERROR(__xludf.DUMMYFUNCTION("""COMPUTED_VALUE"""),"540-623-7846")</f>
        <v>540-623-7846</v>
      </c>
      <c r="P34" s="53" t="str">
        <f ca="1">IFERROR(__xludf.DUMMYFUNCTION("""COMPUTED_VALUE"""),"Amy Sadeghzadeh")</f>
        <v>Amy Sadeghzadeh</v>
      </c>
      <c r="Q34" s="53" t="str">
        <f ca="1">IFERROR(__xludf.DUMMYFUNCTION("""COMPUTED_VALUE"""),"amys@arbinger.com")</f>
        <v>amys@arbinger.com</v>
      </c>
      <c r="R34" s="53" t="str">
        <f ca="1">IFERROR(__xludf.DUMMYFUNCTION("""COMPUTED_VALUE"""),"619-243-6896")</f>
        <v>619-243-6896</v>
      </c>
    </row>
    <row r="35" spans="1:18" x14ac:dyDescent="0.25">
      <c r="A35" s="54"/>
      <c r="B35" s="55"/>
      <c r="C35" s="56"/>
      <c r="D35" s="57"/>
      <c r="E35" s="59"/>
      <c r="F35" s="59"/>
      <c r="G35" s="59"/>
      <c r="H35" s="59"/>
      <c r="I35" s="59"/>
      <c r="J35" s="59"/>
      <c r="K35" s="59"/>
      <c r="L35" s="59"/>
      <c r="M35" s="59"/>
      <c r="N35" s="59"/>
      <c r="O35" s="59"/>
      <c r="P35" s="59"/>
      <c r="Q35" s="59"/>
      <c r="R35" s="59"/>
    </row>
    <row r="36" spans="1:18" x14ac:dyDescent="0.25">
      <c r="A36" s="48"/>
      <c r="B36" s="49"/>
      <c r="C36" s="50"/>
      <c r="D36" s="51"/>
      <c r="E36" s="53"/>
      <c r="F36" s="53"/>
      <c r="G36" s="53"/>
      <c r="H36" s="53"/>
      <c r="I36" s="53"/>
      <c r="J36" s="53"/>
      <c r="K36" s="53"/>
      <c r="L36" s="53"/>
      <c r="M36" s="53"/>
      <c r="N36" s="53"/>
      <c r="O36" s="53"/>
      <c r="P36" s="53"/>
      <c r="Q36" s="53"/>
      <c r="R36" s="53"/>
    </row>
    <row r="37" spans="1:18" x14ac:dyDescent="0.25">
      <c r="A37" s="54"/>
      <c r="B37" s="55"/>
      <c r="C37" s="56"/>
      <c r="D37" s="57"/>
      <c r="E37" s="59"/>
      <c r="F37" s="59"/>
      <c r="G37" s="59"/>
      <c r="H37" s="59"/>
      <c r="I37" s="59"/>
      <c r="J37" s="59"/>
      <c r="K37" s="59"/>
      <c r="L37" s="59"/>
      <c r="M37" s="59"/>
      <c r="N37" s="59"/>
      <c r="O37" s="59"/>
      <c r="P37" s="59"/>
      <c r="Q37" s="59"/>
      <c r="R37" s="59"/>
    </row>
    <row r="38" spans="1:18" x14ac:dyDescent="0.25">
      <c r="A38" s="48"/>
      <c r="B38" s="49"/>
      <c r="C38" s="50"/>
      <c r="D38" s="51"/>
      <c r="E38" s="53"/>
      <c r="F38" s="53"/>
      <c r="G38" s="53"/>
      <c r="H38" s="53"/>
      <c r="I38" s="53"/>
      <c r="J38" s="53"/>
      <c r="K38" s="53"/>
      <c r="L38" s="53"/>
      <c r="M38" s="53"/>
      <c r="N38" s="53"/>
      <c r="O38" s="53"/>
      <c r="P38" s="53"/>
      <c r="Q38" s="53"/>
      <c r="R38" s="53"/>
    </row>
    <row r="39" spans="1:18" x14ac:dyDescent="0.25">
      <c r="A39" s="54"/>
      <c r="B39" s="55"/>
      <c r="C39" s="56"/>
      <c r="D39" s="57"/>
      <c r="E39" s="59"/>
      <c r="F39" s="59"/>
      <c r="G39" s="59"/>
      <c r="H39" s="59"/>
      <c r="I39" s="59"/>
      <c r="J39" s="59"/>
      <c r="K39" s="59"/>
      <c r="L39" s="59"/>
      <c r="M39" s="59"/>
      <c r="N39" s="59"/>
      <c r="O39" s="59"/>
      <c r="P39" s="59"/>
      <c r="Q39" s="59"/>
      <c r="R39" s="59"/>
    </row>
    <row r="40" spans="1:18" x14ac:dyDescent="0.25">
      <c r="A40" s="48"/>
      <c r="B40" s="49"/>
      <c r="C40" s="50"/>
      <c r="D40" s="51"/>
      <c r="E40" s="53"/>
      <c r="F40" s="53"/>
      <c r="G40" s="53"/>
      <c r="H40" s="53"/>
      <c r="I40" s="53"/>
      <c r="J40" s="53"/>
      <c r="K40" s="53"/>
      <c r="L40" s="53"/>
      <c r="M40" s="53"/>
      <c r="N40" s="53"/>
      <c r="O40" s="53"/>
      <c r="P40" s="53"/>
      <c r="Q40" s="53"/>
      <c r="R40" s="53"/>
    </row>
    <row r="41" spans="1:18" x14ac:dyDescent="0.25">
      <c r="A41" s="54"/>
      <c r="B41" s="55"/>
      <c r="C41" s="56"/>
      <c r="D41" s="57"/>
      <c r="E41" s="59"/>
      <c r="F41" s="59"/>
      <c r="G41" s="59"/>
      <c r="H41" s="59"/>
      <c r="I41" s="59"/>
      <c r="J41" s="59"/>
      <c r="K41" s="59"/>
      <c r="L41" s="59"/>
      <c r="M41" s="59"/>
      <c r="N41" s="59"/>
      <c r="O41" s="59"/>
      <c r="P41" s="59"/>
      <c r="Q41" s="59"/>
      <c r="R41" s="59"/>
    </row>
  </sheetData>
  <mergeCells count="12">
    <mergeCell ref="L2:L3"/>
    <mergeCell ref="M2:M3"/>
    <mergeCell ref="A2:A3"/>
    <mergeCell ref="B2:B3"/>
    <mergeCell ref="C2:C3"/>
    <mergeCell ref="D2:D3"/>
    <mergeCell ref="E2:K2"/>
    <mergeCell ref="N2:N3"/>
    <mergeCell ref="O2:O3"/>
    <mergeCell ref="P2:P3"/>
    <mergeCell ref="Q2:Q3"/>
    <mergeCell ref="R2:R3"/>
  </mergeCells>
  <pageMargins left="0.2" right="0.2" top="0.2" bottom="0.2" header="0" footer="0"/>
  <pageSetup orientation="landscape"/>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155CC"/>
  </sheetPr>
  <dimension ref="A1:R40"/>
  <sheetViews>
    <sheetView workbookViewId="0">
      <pane xSplit="2" ySplit="3" topLeftCell="C22" activePane="bottomRight" state="frozen"/>
      <selection pane="topRight" activeCell="C1" sqref="C1"/>
      <selection pane="bottomLeft" activeCell="A4" sqref="A4"/>
      <selection pane="bottomRight" activeCell="A15" sqref="A15:XFD15"/>
    </sheetView>
  </sheetViews>
  <sheetFormatPr defaultColWidth="11.25" defaultRowHeight="15" customHeight="1" x14ac:dyDescent="0.25"/>
  <cols>
    <col min="1" max="1" width="15.75" customWidth="1"/>
    <col min="2" max="2" width="30.75" customWidth="1"/>
    <col min="3" max="3" width="10.75" customWidth="1"/>
    <col min="4" max="4" width="27.875" customWidth="1"/>
    <col min="5" max="11" width="7" customWidth="1"/>
    <col min="12" max="12" width="32.375" customWidth="1"/>
    <col min="13" max="15" width="17.75" customWidth="1"/>
    <col min="16" max="16" width="15.625" customWidth="1"/>
    <col min="17" max="17" width="23.75" customWidth="1"/>
    <col min="18" max="18" width="17.75" customWidth="1"/>
  </cols>
  <sheetData>
    <row r="1" spans="1:18" ht="52.5" customHeight="1" x14ac:dyDescent="0.25">
      <c r="A1" s="36" t="s">
        <v>39</v>
      </c>
      <c r="B1" s="37"/>
      <c r="C1" s="38"/>
      <c r="D1" s="37"/>
      <c r="E1" s="60"/>
      <c r="F1" s="60"/>
      <c r="G1" s="43"/>
      <c r="H1" s="43"/>
      <c r="I1" s="42"/>
      <c r="J1" s="42"/>
      <c r="K1" s="42"/>
      <c r="L1" s="42"/>
      <c r="M1" s="42"/>
      <c r="N1" s="42"/>
      <c r="O1" s="42"/>
      <c r="P1" s="43"/>
      <c r="Q1" s="43"/>
      <c r="R1" s="44"/>
    </row>
    <row r="2" spans="1:18" ht="15.75" x14ac:dyDescent="0.25">
      <c r="A2" s="97" t="s">
        <v>40</v>
      </c>
      <c r="B2" s="96" t="s">
        <v>17</v>
      </c>
      <c r="C2" s="92" t="s">
        <v>18</v>
      </c>
      <c r="D2" s="96" t="s">
        <v>19</v>
      </c>
      <c r="E2" s="99" t="s">
        <v>31</v>
      </c>
      <c r="F2" s="100"/>
      <c r="G2" s="100"/>
      <c r="H2" s="100"/>
      <c r="I2" s="100"/>
      <c r="J2" s="100"/>
      <c r="K2" s="101"/>
      <c r="L2" s="96" t="s">
        <v>20</v>
      </c>
      <c r="M2" s="96" t="s">
        <v>21</v>
      </c>
      <c r="N2" s="92" t="s">
        <v>22</v>
      </c>
      <c r="O2" s="92" t="s">
        <v>23</v>
      </c>
      <c r="P2" s="92" t="s">
        <v>24</v>
      </c>
      <c r="Q2" s="92" t="s">
        <v>25</v>
      </c>
      <c r="R2" s="94" t="s">
        <v>26</v>
      </c>
    </row>
    <row r="3" spans="1:18" ht="26.25" x14ac:dyDescent="0.25">
      <c r="A3" s="98"/>
      <c r="B3" s="93"/>
      <c r="C3" s="93"/>
      <c r="D3" s="93"/>
      <c r="E3" s="45" t="s">
        <v>32</v>
      </c>
      <c r="F3" s="46" t="s">
        <v>33</v>
      </c>
      <c r="G3" s="46" t="s">
        <v>34</v>
      </c>
      <c r="H3" s="46" t="s">
        <v>35</v>
      </c>
      <c r="I3" s="46" t="s">
        <v>36</v>
      </c>
      <c r="J3" s="46" t="s">
        <v>37</v>
      </c>
      <c r="K3" s="47" t="s">
        <v>38</v>
      </c>
      <c r="L3" s="93"/>
      <c r="M3" s="93"/>
      <c r="N3" s="93"/>
      <c r="O3" s="93"/>
      <c r="P3" s="93"/>
      <c r="Q3" s="93"/>
      <c r="R3" s="95"/>
    </row>
    <row r="4" spans="1:18" ht="30.75" customHeight="1" x14ac:dyDescent="0.25">
      <c r="A4" s="48" t="str">
        <f ca="1">IFERROR(__xludf.DUMMYFUNCTION("Query(importrange(""https://docs.google.com/spreadsheets/d/1t10Foe1vTEZyMDsOA_q-Q29vy-Kz9U_eP3ItSEmmPak/edit#gid=525286931"",""HCaTS Master Contracts info!A2:AN200""),""SELECT Col4, Col13, Col15, Col17, Col32, Col33, Col34, Col35, Col36, Col37, Col38, Col"&amp;"14,Col18, Col19, Col20, Col21, Col22, Col23 where Col4 is not null order by Col13"",0)"),"32")</f>
        <v>32</v>
      </c>
      <c r="B4" s="49"/>
      <c r="C4" s="50"/>
      <c r="D4" s="51"/>
      <c r="E4" s="52" t="str">
        <f ca="1">IFERROR(__xludf.DUMMYFUNCTION("""COMPUTED_VALUE"""),"57")</f>
        <v>57</v>
      </c>
      <c r="F4" s="52" t="str">
        <f ca="1">IFERROR(__xludf.DUMMYFUNCTION("""COMPUTED_VALUE"""),"4")</f>
        <v>4</v>
      </c>
      <c r="G4" s="52" t="str">
        <f ca="1">IFERROR(__xludf.DUMMYFUNCTION("""COMPUTED_VALUE"""),"12")</f>
        <v>12</v>
      </c>
      <c r="H4" s="52" t="str">
        <f ca="1">IFERROR(__xludf.DUMMYFUNCTION("""COMPUTED_VALUE"""),"7")</f>
        <v>7</v>
      </c>
      <c r="I4" s="52" t="str">
        <f ca="1">IFERROR(__xludf.DUMMYFUNCTION("""COMPUTED_VALUE"""),"8")</f>
        <v>8</v>
      </c>
      <c r="J4" s="52" t="str">
        <f ca="1">IFERROR(__xludf.DUMMYFUNCTION("""COMPUTED_VALUE"""),"24")</f>
        <v>24</v>
      </c>
      <c r="K4" s="52" t="str">
        <f ca="1">IFERROR(__xludf.DUMMYFUNCTION("""COMPUTED_VALUE"""),"11")</f>
        <v>11</v>
      </c>
      <c r="L4" s="53"/>
      <c r="M4" s="53"/>
      <c r="N4" s="53"/>
      <c r="O4" s="53"/>
      <c r="P4" s="53"/>
      <c r="Q4" s="53"/>
      <c r="R4" s="53"/>
    </row>
    <row r="5" spans="1:18" ht="30.75" customHeight="1" x14ac:dyDescent="0.25">
      <c r="A5" s="54" t="str">
        <f ca="1">IFERROR(__xludf.DUMMYFUNCTION("""COMPUTED_VALUE"""),"GS02Q16DCR0082")</f>
        <v>GS02Q16DCR0082</v>
      </c>
      <c r="B5" s="55" t="str">
        <f ca="1">IFERROR(__xludf.DUMMYFUNCTION("""COMPUTED_VALUE"""),"A P Ventures, LLC")</f>
        <v>A P Ventures, LLC</v>
      </c>
      <c r="C5" s="56" t="str">
        <f ca="1">IFERROR(__xludf.DUMMYFUNCTION("""COMPUTED_VALUE"""),"005752289")</f>
        <v>005752289</v>
      </c>
      <c r="D5" s="57" t="str">
        <f ca="1">IFERROR(__xludf.DUMMYFUNCTION("""COMPUTED_VALUE"""),"9520 Berger Road, Suite 107, Columbia, MD 21046, U.S.A.")</f>
        <v>9520 Berger Road, Suite 107, Columbia, MD 21046, U.S.A.</v>
      </c>
      <c r="E5" s="58" t="str">
        <f ca="1">IFERROR(__xludf.DUMMYFUNCTION("""COMPUTED_VALUE"""),"Yes")</f>
        <v>Yes</v>
      </c>
      <c r="F5" s="58" t="str">
        <f ca="1">IFERROR(__xludf.DUMMYFUNCTION("""COMPUTED_VALUE"""),"...")</f>
        <v>...</v>
      </c>
      <c r="G5" s="58" t="str">
        <f ca="1">IFERROR(__xludf.DUMMYFUNCTION("""COMPUTED_VALUE"""),"...")</f>
        <v>...</v>
      </c>
      <c r="H5" s="58" t="str">
        <f ca="1">IFERROR(__xludf.DUMMYFUNCTION("""COMPUTED_VALUE"""),"...")</f>
        <v>...</v>
      </c>
      <c r="I5" s="58" t="str">
        <f ca="1">IFERROR(__xludf.DUMMYFUNCTION("""COMPUTED_VALUE"""),"...")</f>
        <v>...</v>
      </c>
      <c r="J5" s="58" t="str">
        <f ca="1">IFERROR(__xludf.DUMMYFUNCTION("""COMPUTED_VALUE"""),"Yes")</f>
        <v>Yes</v>
      </c>
      <c r="K5" s="58" t="str">
        <f ca="1">IFERROR(__xludf.DUMMYFUNCTION("""COMPUTED_VALUE"""),"Yes")</f>
        <v>Yes</v>
      </c>
      <c r="L5" s="59" t="str">
        <f ca="1">IFERROR(__xludf.DUMMYFUNCTION("""COMPUTED_VALUE"""),"HCaTS-SB@apvit.com")</f>
        <v>HCaTS-SB@apvit.com</v>
      </c>
      <c r="M5" s="59" t="str">
        <f ca="1">IFERROR(__xludf.DUMMYFUNCTION("""COMPUTED_VALUE"""),"Nandita Gududuri")</f>
        <v>Nandita Gududuri</v>
      </c>
      <c r="N5" s="59" t="str">
        <f ca="1">IFERROR(__xludf.DUMMYFUNCTION("""COMPUTED_VALUE"""),"ngududuri@apvit.com")</f>
        <v>ngududuri@apvit.com</v>
      </c>
      <c r="O5" s="59" t="str">
        <f ca="1">IFERROR(__xludf.DUMMYFUNCTION("""COMPUTED_VALUE"""),"(301) 535-2495")</f>
        <v>(301) 535-2495</v>
      </c>
      <c r="P5" s="59" t="str">
        <f ca="1">IFERROR(__xludf.DUMMYFUNCTION("""COMPUTED_VALUE"""),"Jessica Farinholt")</f>
        <v>Jessica Farinholt</v>
      </c>
      <c r="Q5" s="59" t="str">
        <f ca="1">IFERROR(__xludf.DUMMYFUNCTION("""COMPUTED_VALUE"""),"contracts@apvit.com")</f>
        <v>contracts@apvit.com</v>
      </c>
      <c r="R5" s="59" t="str">
        <f ca="1">IFERROR(__xludf.DUMMYFUNCTION("""COMPUTED_VALUE"""),"(443) 542-9188")</f>
        <v>(443) 542-9188</v>
      </c>
    </row>
    <row r="6" spans="1:18" ht="30.75" customHeight="1" x14ac:dyDescent="0.25">
      <c r="A6" s="48" t="str">
        <f ca="1">IFERROR(__xludf.DUMMYFUNCTION("""COMPUTED_VALUE"""),"GS02Q17DCR0008")</f>
        <v>GS02Q17DCR0008</v>
      </c>
      <c r="B6" s="49" t="str">
        <f ca="1">IFERROR(__xludf.DUMMYFUNCTION("""COMPUTED_VALUE"""),"Advanced Computer Learning Company, LLC")</f>
        <v>Advanced Computer Learning Company, LLC</v>
      </c>
      <c r="C6" s="50" t="str">
        <f ca="1">IFERROR(__xludf.DUMMYFUNCTION("""COMPUTED_VALUE"""),"141415021")</f>
        <v>141415021</v>
      </c>
      <c r="D6" s="51" t="str">
        <f ca="1">IFERROR(__xludf.DUMMYFUNCTION("""COMPUTED_VALUE"""),"208 C Hay Street, Suite C, Fayetteville NC 28301")</f>
        <v>208 C Hay Street, Suite C, Fayetteville NC 28301</v>
      </c>
      <c r="E6" s="52" t="str">
        <f ca="1">IFERROR(__xludf.DUMMYFUNCTION("""COMPUTED_VALUE"""),"Yes")</f>
        <v>Yes</v>
      </c>
      <c r="F6" s="52" t="str">
        <f ca="1">IFERROR(__xludf.DUMMYFUNCTION("""COMPUTED_VALUE"""),"...")</f>
        <v>...</v>
      </c>
      <c r="G6" s="52" t="str">
        <f ca="1">IFERROR(__xludf.DUMMYFUNCTION("""COMPUTED_VALUE"""),"...")</f>
        <v>...</v>
      </c>
      <c r="H6" s="52" t="str">
        <f ca="1">IFERROR(__xludf.DUMMYFUNCTION("""COMPUTED_VALUE"""),"...")</f>
        <v>...</v>
      </c>
      <c r="I6" s="52" t="str">
        <f ca="1">IFERROR(__xludf.DUMMYFUNCTION("""COMPUTED_VALUE"""),"...")</f>
        <v>...</v>
      </c>
      <c r="J6" s="52" t="str">
        <f ca="1">IFERROR(__xludf.DUMMYFUNCTION("""COMPUTED_VALUE"""),"...")</f>
        <v>...</v>
      </c>
      <c r="K6" s="52" t="str">
        <f ca="1">IFERROR(__xludf.DUMMYFUNCTION("""COMPUTED_VALUE"""),"...")</f>
        <v>...</v>
      </c>
      <c r="L6" s="53" t="str">
        <f ca="1">IFERROR(__xludf.DUMMYFUNCTION("""COMPUTED_VALUE"""),"HCATS-SB@goaclc.com, HCaTS_8A@goaclc.com")</f>
        <v>HCATS-SB@goaclc.com, HCaTS_8A@goaclc.com</v>
      </c>
      <c r="M6" s="53" t="str">
        <f ca="1">IFERROR(__xludf.DUMMYFUNCTION("""COMPUTED_VALUE"""),"Jack Zeigler")</f>
        <v>Jack Zeigler</v>
      </c>
      <c r="N6" s="53" t="str">
        <f ca="1">IFERROR(__xludf.DUMMYFUNCTION("""COMPUTED_VALUE"""),"jack.zeigler@goaclc.com")</f>
        <v>jack.zeigler@goaclc.com</v>
      </c>
      <c r="O6" s="53" t="str">
        <f ca="1">IFERROR(__xludf.DUMMYFUNCTION("""COMPUTED_VALUE"""),"910-670-1541 ")</f>
        <v xml:space="preserve">910-670-1541 </v>
      </c>
      <c r="P6" s="53" t="str">
        <f ca="1">IFERROR(__xludf.DUMMYFUNCTION("""COMPUTED_VALUE"""),"Kathryn Cox")</f>
        <v>Kathryn Cox</v>
      </c>
      <c r="Q6" s="53" t="str">
        <f ca="1">IFERROR(__xludf.DUMMYFUNCTION("""COMPUTED_VALUE"""),"KCox@goaclc.com")</f>
        <v>KCox@goaclc.com</v>
      </c>
      <c r="R6" s="53" t="str">
        <f ca="1">IFERROR(__xludf.DUMMYFUNCTION("""COMPUTED_VALUE"""),"9109168815")</f>
        <v>9109168815</v>
      </c>
    </row>
    <row r="7" spans="1:18" ht="30.75" customHeight="1" x14ac:dyDescent="0.25">
      <c r="A7" s="54" t="str">
        <f ca="1">IFERROR(__xludf.DUMMYFUNCTION("""COMPUTED_VALUE"""),"GS02Q16DCR0083")</f>
        <v>GS02Q16DCR0083</v>
      </c>
      <c r="B7" s="55" t="str">
        <f ca="1">IFERROR(__xludf.DUMMYFUNCTION("""COMPUTED_VALUE"""),"AE Strategies, LLC")</f>
        <v>AE Strategies, LLC</v>
      </c>
      <c r="C7" s="56" t="str">
        <f ca="1">IFERROR(__xludf.DUMMYFUNCTION("""COMPUTED_VALUE"""),"136483547")</f>
        <v>136483547</v>
      </c>
      <c r="D7" s="57" t="str">
        <f ca="1">IFERROR(__xludf.DUMMYFUNCTION("""COMPUTED_VALUE"""),"1751 Pinnacle Drive Suite 600, McLean, VA 22102")</f>
        <v>1751 Pinnacle Drive Suite 600, McLean, VA 22102</v>
      </c>
      <c r="E7" s="58" t="str">
        <f ca="1">IFERROR(__xludf.DUMMYFUNCTION("""COMPUTED_VALUE"""),"...")</f>
        <v>...</v>
      </c>
      <c r="F7" s="58" t="str">
        <f ca="1">IFERROR(__xludf.DUMMYFUNCTION("""COMPUTED_VALUE"""),"...")</f>
        <v>...</v>
      </c>
      <c r="G7" s="58" t="str">
        <f ca="1">IFERROR(__xludf.DUMMYFUNCTION("""COMPUTED_VALUE"""),"...")</f>
        <v>...</v>
      </c>
      <c r="H7" s="58" t="str">
        <f ca="1">IFERROR(__xludf.DUMMYFUNCTION("""COMPUTED_VALUE"""),"...")</f>
        <v>...</v>
      </c>
      <c r="I7" s="58" t="str">
        <f ca="1">IFERROR(__xludf.DUMMYFUNCTION("""COMPUTED_VALUE"""),"...")</f>
        <v>...</v>
      </c>
      <c r="J7" s="58" t="str">
        <f ca="1">IFERROR(__xludf.DUMMYFUNCTION("""COMPUTED_VALUE"""),"...")</f>
        <v>...</v>
      </c>
      <c r="K7" s="58" t="str">
        <f ca="1">IFERROR(__xludf.DUMMYFUNCTION("""COMPUTED_VALUE"""),"...")</f>
        <v>...</v>
      </c>
      <c r="L7" s="59" t="str">
        <f ca="1">IFERROR(__xludf.DUMMYFUNCTION("""COMPUTED_VALUE"""),"HCATS@aestrategies.com")</f>
        <v>HCATS@aestrategies.com</v>
      </c>
      <c r="M7" s="59" t="str">
        <f ca="1">IFERROR(__xludf.DUMMYFUNCTION("""COMPUTED_VALUE"""),"Patrick Niehus")</f>
        <v>Patrick Niehus</v>
      </c>
      <c r="N7" s="59" t="str">
        <f ca="1">IFERROR(__xludf.DUMMYFUNCTION("""COMPUTED_VALUE"""),"pniehus@aestrategies.com")</f>
        <v>pniehus@aestrategies.com</v>
      </c>
      <c r="O7" s="59" t="str">
        <f ca="1">IFERROR(__xludf.DUMMYFUNCTION("""COMPUTED_VALUE"""),"703-314-0298")</f>
        <v>703-314-0298</v>
      </c>
      <c r="P7" s="59" t="str">
        <f ca="1">IFERROR(__xludf.DUMMYFUNCTION("""COMPUTED_VALUE"""),"Tami Tipton")</f>
        <v>Tami Tipton</v>
      </c>
      <c r="Q7" s="59" t="str">
        <f ca="1">IFERROR(__xludf.DUMMYFUNCTION("""COMPUTED_VALUE"""),"ttipton@aestrategies.com")</f>
        <v>ttipton@aestrategies.com</v>
      </c>
      <c r="R7" s="59" t="str">
        <f ca="1">IFERROR(__xludf.DUMMYFUNCTION("""COMPUTED_VALUE"""),"703-286-0880")</f>
        <v>703-286-0880</v>
      </c>
    </row>
    <row r="8" spans="1:18" ht="30.75" customHeight="1" x14ac:dyDescent="0.25">
      <c r="A8" s="48" t="str">
        <f ca="1">IFERROR(__xludf.DUMMYFUNCTION("""COMPUTED_VALUE"""),"GS02Q17DCR0001")</f>
        <v>GS02Q17DCR0001</v>
      </c>
      <c r="B8" s="49" t="str">
        <f ca="1">IFERROR(__xludf.DUMMYFUNCTION("""COMPUTED_VALUE"""),"Arc Aspicio LLC")</f>
        <v>Arc Aspicio LLC</v>
      </c>
      <c r="C8" s="50" t="str">
        <f ca="1">IFERROR(__xludf.DUMMYFUNCTION("""COMPUTED_VALUE"""),"168719552")</f>
        <v>168719552</v>
      </c>
      <c r="D8" s="51" t="str">
        <f ca="1">IFERROR(__xludf.DUMMYFUNCTION("""COMPUTED_VALUE"""),"1725 I Street NW, Suite 300 Washington, D.C. 20006")</f>
        <v>1725 I Street NW, Suite 300 Washington, D.C. 20006</v>
      </c>
      <c r="E8" s="52" t="str">
        <f ca="1">IFERROR(__xludf.DUMMYFUNCTION("""COMPUTED_VALUE"""),"...")</f>
        <v>...</v>
      </c>
      <c r="F8" s="52" t="str">
        <f ca="1">IFERROR(__xludf.DUMMYFUNCTION("""COMPUTED_VALUE"""),"...")</f>
        <v>...</v>
      </c>
      <c r="G8" s="52" t="str">
        <f ca="1">IFERROR(__xludf.DUMMYFUNCTION("""COMPUTED_VALUE"""),"...")</f>
        <v>...</v>
      </c>
      <c r="H8" s="52" t="str">
        <f ca="1">IFERROR(__xludf.DUMMYFUNCTION("""COMPUTED_VALUE"""),"...")</f>
        <v>...</v>
      </c>
      <c r="I8" s="52" t="str">
        <f ca="1">IFERROR(__xludf.DUMMYFUNCTION("""COMPUTED_VALUE"""),"...")</f>
        <v>...</v>
      </c>
      <c r="J8" s="52" t="str">
        <f ca="1">IFERROR(__xludf.DUMMYFUNCTION("""COMPUTED_VALUE"""),"Yes")</f>
        <v>Yes</v>
      </c>
      <c r="K8" s="52" t="str">
        <f ca="1">IFERROR(__xludf.DUMMYFUNCTION("""COMPUTED_VALUE"""),"...")</f>
        <v>...</v>
      </c>
      <c r="L8" s="53" t="str">
        <f ca="1">IFERROR(__xludf.DUMMYFUNCTION("""COMPUTED_VALUE"""),"hcats@arcaspicio.com")</f>
        <v>hcats@arcaspicio.com</v>
      </c>
      <c r="M8" s="53" t="str">
        <f ca="1">IFERROR(__xludf.DUMMYFUNCTION("""COMPUTED_VALUE"""),"Tim Falkner")</f>
        <v>Tim Falkner</v>
      </c>
      <c r="N8" s="53" t="str">
        <f ca="1">IFERROR(__xludf.DUMMYFUNCTION("""COMPUTED_VALUE"""),"tdf@arcaspicio.com")</f>
        <v>tdf@arcaspicio.com</v>
      </c>
      <c r="O8" s="53" t="str">
        <f ca="1">IFERROR(__xludf.DUMMYFUNCTION("""COMPUTED_VALUE"""),"(703) 465-2060")</f>
        <v>(703) 465-2060</v>
      </c>
      <c r="P8" s="53" t="str">
        <f ca="1">IFERROR(__xludf.DUMMYFUNCTION("""COMPUTED_VALUE"""),"Lynn Ann Casey")</f>
        <v>Lynn Ann Casey</v>
      </c>
      <c r="Q8" s="53" t="str">
        <f ca="1">IFERROR(__xludf.DUMMYFUNCTION("""COMPUTED_VALUE"""),"lac@arcaspicio.com")</f>
        <v>lac@arcaspicio.com</v>
      </c>
      <c r="R8" s="53" t="str">
        <f ca="1">IFERROR(__xludf.DUMMYFUNCTION("""COMPUTED_VALUE"""),"(703) 465-2060")</f>
        <v>(703) 465-2060</v>
      </c>
    </row>
    <row r="9" spans="1:18" ht="30.75" customHeight="1" x14ac:dyDescent="0.25">
      <c r="A9" s="54" t="str">
        <f ca="1">IFERROR(__xludf.DUMMYFUNCTION("""COMPUTED_VALUE"""),"GS02Q17DCR0005")</f>
        <v>GS02Q17DCR0005</v>
      </c>
      <c r="B9" s="55" t="str">
        <f ca="1">IFERROR(__xludf.DUMMYFUNCTION("""COMPUTED_VALUE"""),"Avani Services, LLC (FKA McKinley Group, LLC)")</f>
        <v>Avani Services, LLC (FKA McKinley Group, LLC)</v>
      </c>
      <c r="C9" s="56" t="str">
        <f ca="1">IFERROR(__xludf.DUMMYFUNCTION("""COMPUTED_VALUE"""),"128560328")</f>
        <v>128560328</v>
      </c>
      <c r="D9" s="57" t="str">
        <f ca="1">IFERROR(__xludf.DUMMYFUNCTION("""COMPUTED_VALUE"""),"9210 Corporate BLVD, Suite 360, Rockville, MD 20850")</f>
        <v>9210 Corporate BLVD, Suite 360, Rockville, MD 20850</v>
      </c>
      <c r="E9" s="58" t="str">
        <f ca="1">IFERROR(__xludf.DUMMYFUNCTION("""COMPUTED_VALUE"""),"Yes")</f>
        <v>Yes</v>
      </c>
      <c r="F9" s="58" t="str">
        <f ca="1">IFERROR(__xludf.DUMMYFUNCTION("""COMPUTED_VALUE"""),"...")</f>
        <v>...</v>
      </c>
      <c r="G9" s="58" t="str">
        <f ca="1">IFERROR(__xludf.DUMMYFUNCTION("""COMPUTED_VALUE"""),"...")</f>
        <v>...</v>
      </c>
      <c r="H9" s="58" t="str">
        <f ca="1">IFERROR(__xludf.DUMMYFUNCTION("""COMPUTED_VALUE"""),"...")</f>
        <v>...</v>
      </c>
      <c r="I9" s="58" t="str">
        <f ca="1">IFERROR(__xludf.DUMMYFUNCTION("""COMPUTED_VALUE"""),"...")</f>
        <v>...</v>
      </c>
      <c r="J9" s="58" t="str">
        <f ca="1">IFERROR(__xludf.DUMMYFUNCTION("""COMPUTED_VALUE"""),"...")</f>
        <v>...</v>
      </c>
      <c r="K9" s="58" t="str">
        <f ca="1">IFERROR(__xludf.DUMMYFUNCTION("""COMPUTED_VALUE"""),"...")</f>
        <v>...</v>
      </c>
      <c r="L9" s="59" t="str">
        <f ca="1">IFERROR(__xludf.DUMMYFUNCTION("""COMPUTED_VALUE"""),"jmybox@earthlink.net")</f>
        <v>jmybox@earthlink.net</v>
      </c>
      <c r="M9" s="59" t="str">
        <f ca="1">IFERROR(__xludf.DUMMYFUNCTION("""COMPUTED_VALUE"""),"Natasha Cox")</f>
        <v>Natasha Cox</v>
      </c>
      <c r="N9" s="59" t="str">
        <f ca="1">IFERROR(__xludf.DUMMYFUNCTION("""COMPUTED_VALUE"""),"natasha.cox@avaniservices.com")</f>
        <v>natasha.cox@avaniservices.com</v>
      </c>
      <c r="O9" s="59" t="str">
        <f ca="1">IFERROR(__xludf.DUMMYFUNCTION("""COMPUTED_VALUE"""),"202-964-0242")</f>
        <v>202-964-0242</v>
      </c>
      <c r="P9" s="59" t="str">
        <f ca="1">IFERROR(__xludf.DUMMYFUNCTION("""COMPUTED_VALUE"""),"Kathryn Cox ")</f>
        <v xml:space="preserve">Kathryn Cox </v>
      </c>
      <c r="Q9" s="59" t="str">
        <f ca="1">IFERROR(__xludf.DUMMYFUNCTION("""COMPUTED_VALUE"""),"kathryn.cox@avaniservices.com")</f>
        <v>kathryn.cox@avaniservices.com</v>
      </c>
      <c r="R9" s="59" t="str">
        <f ca="1">IFERROR(__xludf.DUMMYFUNCTION("""COMPUTED_VALUE"""),"910.916.8815")</f>
        <v>910.916.8815</v>
      </c>
    </row>
    <row r="10" spans="1:18" ht="30.75" customHeight="1" x14ac:dyDescent="0.25">
      <c r="A10" s="48" t="str">
        <f ca="1">IFERROR(__xludf.DUMMYFUNCTION("""COMPUTED_VALUE"""),"47QREB21D0045")</f>
        <v>47QREB21D0045</v>
      </c>
      <c r="B10" s="49" t="str">
        <f ca="1">IFERROR(__xludf.DUMMYFUNCTION("""COMPUTED_VALUE"""),"Censeo Consulting Group, Inc")</f>
        <v>Censeo Consulting Group, Inc</v>
      </c>
      <c r="C10" s="50" t="str">
        <f ca="1">IFERROR(__xludf.DUMMYFUNCTION("""COMPUTED_VALUE"""),"132220604")</f>
        <v>132220604</v>
      </c>
      <c r="D10" s="51" t="str">
        <f ca="1">IFERROR(__xludf.DUMMYFUNCTION("""COMPUTED_VALUE"""),"1776 I ST NW STE 1030, WASHINGTON, DC 20006-3760")</f>
        <v>1776 I ST NW STE 1030, WASHINGTON, DC 20006-3760</v>
      </c>
      <c r="E10" s="52" t="str">
        <f ca="1">IFERROR(__xludf.DUMMYFUNCTION("""COMPUTED_VALUE"""),"...")</f>
        <v>...</v>
      </c>
      <c r="F10" s="52" t="str">
        <f ca="1">IFERROR(__xludf.DUMMYFUNCTION("""COMPUTED_VALUE"""),"...")</f>
        <v>...</v>
      </c>
      <c r="G10" s="52" t="str">
        <f ca="1">IFERROR(__xludf.DUMMYFUNCTION("""COMPUTED_VALUE"""),"...")</f>
        <v>...</v>
      </c>
      <c r="H10" s="52" t="str">
        <f ca="1">IFERROR(__xludf.DUMMYFUNCTION("""COMPUTED_VALUE"""),"...")</f>
        <v>...</v>
      </c>
      <c r="I10" s="52" t="str">
        <f ca="1">IFERROR(__xludf.DUMMYFUNCTION("""COMPUTED_VALUE"""),"...")</f>
        <v>...</v>
      </c>
      <c r="J10" s="52" t="str">
        <f ca="1">IFERROR(__xludf.DUMMYFUNCTION("""COMPUTED_VALUE"""),"...")</f>
        <v>...</v>
      </c>
      <c r="K10" s="52" t="str">
        <f ca="1">IFERROR(__xludf.DUMMYFUNCTION("""COMPUTED_VALUE"""),"...")</f>
        <v>...</v>
      </c>
      <c r="L10" s="53" t="str">
        <f ca="1">IFERROR(__xludf.DUMMYFUNCTION("""COMPUTED_VALUE"""),"HCATS@censeoconsulting.com")</f>
        <v>HCATS@censeoconsulting.com</v>
      </c>
      <c r="M10" s="53" t="str">
        <f ca="1">IFERROR(__xludf.DUMMYFUNCTION("""COMPUTED_VALUE"""),"Derrick Moreira")</f>
        <v>Derrick Moreira</v>
      </c>
      <c r="N10" s="53" t="str">
        <f ca="1">IFERROR(__xludf.DUMMYFUNCTION("""COMPUTED_VALUE"""),"dmoreira@censeoconsulting.com")</f>
        <v>dmoreira@censeoconsulting.com</v>
      </c>
      <c r="O10" s="53" t="str">
        <f ca="1">IFERROR(__xludf.DUMMYFUNCTION("""COMPUTED_VALUE"""),"202-591-3376")</f>
        <v>202-591-3376</v>
      </c>
      <c r="P10" s="53" t="str">
        <f ca="1">IFERROR(__xludf.DUMMYFUNCTION("""COMPUTED_VALUE"""),"Kurt Young")</f>
        <v>Kurt Young</v>
      </c>
      <c r="Q10" s="53" t="str">
        <f ca="1">IFERROR(__xludf.DUMMYFUNCTION("""COMPUTED_VALUE"""),"kyoung@censeoconsulting.com")</f>
        <v>kyoung@censeoconsulting.com</v>
      </c>
      <c r="R10" s="53" t="str">
        <f ca="1">IFERROR(__xludf.DUMMYFUNCTION("""COMPUTED_VALUE"""),"202-591-3377")</f>
        <v>202-591-3377</v>
      </c>
    </row>
    <row r="11" spans="1:18" ht="30.75" customHeight="1" x14ac:dyDescent="0.25">
      <c r="A11" s="54" t="str">
        <f ca="1">IFERROR(__xludf.DUMMYFUNCTION("""COMPUTED_VALUE"""),"GS02Q16DCR0085")</f>
        <v>GS02Q16DCR0085</v>
      </c>
      <c r="B11" s="55" t="str">
        <f ca="1">IFERROR(__xludf.DUMMYFUNCTION("""COMPUTED_VALUE"""),"CG Strategy, Inc")</f>
        <v>CG Strategy, Inc</v>
      </c>
      <c r="C11" s="56" t="str">
        <f ca="1">IFERROR(__xludf.DUMMYFUNCTION("""COMPUTED_VALUE"""),"838295400")</f>
        <v>838295400</v>
      </c>
      <c r="D11" s="57" t="str">
        <f ca="1">IFERROR(__xludf.DUMMYFUNCTION("""COMPUTED_VALUE"""),"PO Box 40607
Arlington, VA 22204")</f>
        <v>PO Box 40607
Arlington, VA 22204</v>
      </c>
      <c r="E11" s="58" t="str">
        <f ca="1">IFERROR(__xludf.DUMMYFUNCTION("""COMPUTED_VALUE"""),"...")</f>
        <v>...</v>
      </c>
      <c r="F11" s="58" t="str">
        <f ca="1">IFERROR(__xludf.DUMMYFUNCTION("""COMPUTED_VALUE"""),"...")</f>
        <v>...</v>
      </c>
      <c r="G11" s="58" t="str">
        <f ca="1">IFERROR(__xludf.DUMMYFUNCTION("""COMPUTED_VALUE"""),"...")</f>
        <v>...</v>
      </c>
      <c r="H11" s="58" t="str">
        <f ca="1">IFERROR(__xludf.DUMMYFUNCTION("""COMPUTED_VALUE"""),"...")</f>
        <v>...</v>
      </c>
      <c r="I11" s="58" t="str">
        <f ca="1">IFERROR(__xludf.DUMMYFUNCTION("""COMPUTED_VALUE"""),"...")</f>
        <v>...</v>
      </c>
      <c r="J11" s="58" t="str">
        <f ca="1">IFERROR(__xludf.DUMMYFUNCTION("""COMPUTED_VALUE"""),"Yes")</f>
        <v>Yes</v>
      </c>
      <c r="K11" s="58" t="str">
        <f ca="1">IFERROR(__xludf.DUMMYFUNCTION("""COMPUTED_VALUE"""),"...")</f>
        <v>...</v>
      </c>
      <c r="L11" s="59" t="str">
        <f ca="1">IFERROR(__xludf.DUMMYFUNCTION("""COMPUTED_VALUE"""),"hcats@cgstrategy.com")</f>
        <v>hcats@cgstrategy.com</v>
      </c>
      <c r="M11" s="59" t="str">
        <f ca="1">IFERROR(__xludf.DUMMYFUNCTION("""COMPUTED_VALUE"""),"Katie Mense")</f>
        <v>Katie Mense</v>
      </c>
      <c r="N11" s="59" t="str">
        <f ca="1">IFERROR(__xludf.DUMMYFUNCTION("""COMPUTED_VALUE"""),"katie.mense@cgstrategy.com")</f>
        <v>katie.mense@cgstrategy.com</v>
      </c>
      <c r="O11" s="59" t="str">
        <f ca="1">IFERROR(__xludf.DUMMYFUNCTION("""COMPUTED_VALUE"""),"703-527-7001")</f>
        <v>703-527-7001</v>
      </c>
      <c r="P11" s="59" t="str">
        <f ca="1">IFERROR(__xludf.DUMMYFUNCTION("""COMPUTED_VALUE"""),"Amy Cowart")</f>
        <v>Amy Cowart</v>
      </c>
      <c r="Q11" s="59" t="str">
        <f ca="1">IFERROR(__xludf.DUMMYFUNCTION("""COMPUTED_VALUE"""),"amy.cowart@cgstrategy.com")</f>
        <v>amy.cowart@cgstrategy.com</v>
      </c>
      <c r="R11" s="59" t="str">
        <f ca="1">IFERROR(__xludf.DUMMYFUNCTION("""COMPUTED_VALUE"""),"703-527-7001")</f>
        <v>703-527-7001</v>
      </c>
    </row>
    <row r="12" spans="1:18" ht="30.75" customHeight="1" x14ac:dyDescent="0.25">
      <c r="A12" s="48" t="str">
        <f ca="1">IFERROR(__xludf.DUMMYFUNCTION("""COMPUTED_VALUE"""),"GS02Q16DCR0092")</f>
        <v>GS02Q16DCR0092</v>
      </c>
      <c r="B12" s="49" t="str">
        <f ca="1">IFERROR(__xludf.DUMMYFUNCTION("""COMPUTED_VALUE"""),"Deep Mile Networks, LLC")</f>
        <v>Deep Mile Networks, LLC</v>
      </c>
      <c r="C12" s="50" t="str">
        <f ca="1">IFERROR(__xludf.DUMMYFUNCTION("""COMPUTED_VALUE"""),"790984186")</f>
        <v>790984186</v>
      </c>
      <c r="D12" s="51" t="str">
        <f ca="1">IFERROR(__xludf.DUMMYFUNCTION("""COMPUTED_VALUE"""),"1934 Old Gallows Road, Suite 350
Vienna, VA 22182-4050")</f>
        <v>1934 Old Gallows Road, Suite 350
Vienna, VA 22182-4050</v>
      </c>
      <c r="E12" s="52" t="str">
        <f ca="1">IFERROR(__xludf.DUMMYFUNCTION("""COMPUTED_VALUE"""),"...")</f>
        <v>...</v>
      </c>
      <c r="F12" s="52" t="str">
        <f ca="1">IFERROR(__xludf.DUMMYFUNCTION("""COMPUTED_VALUE"""),"...")</f>
        <v>...</v>
      </c>
      <c r="G12" s="52" t="str">
        <f ca="1">IFERROR(__xludf.DUMMYFUNCTION("""COMPUTED_VALUE"""),"...")</f>
        <v>...</v>
      </c>
      <c r="H12" s="52" t="str">
        <f ca="1">IFERROR(__xludf.DUMMYFUNCTION("""COMPUTED_VALUE"""),"...")</f>
        <v>...</v>
      </c>
      <c r="I12" s="52" t="str">
        <f ca="1">IFERROR(__xludf.DUMMYFUNCTION("""COMPUTED_VALUE"""),"...")</f>
        <v>...</v>
      </c>
      <c r="J12" s="52" t="str">
        <f ca="1">IFERROR(__xludf.DUMMYFUNCTION("""COMPUTED_VALUE"""),"...")</f>
        <v>...</v>
      </c>
      <c r="K12" s="52" t="str">
        <f ca="1">IFERROR(__xludf.DUMMYFUNCTION("""COMPUTED_VALUE"""),"...")</f>
        <v>...</v>
      </c>
      <c r="L12" s="53" t="str">
        <f ca="1">IFERROR(__xludf.DUMMYFUNCTION("""COMPUTED_VALUE"""),"hcats_sb@deepmile.com")</f>
        <v>hcats_sb@deepmile.com</v>
      </c>
      <c r="M12" s="53" t="str">
        <f ca="1">IFERROR(__xludf.DUMMYFUNCTION("""COMPUTED_VALUE"""),"Pawan Singh")</f>
        <v>Pawan Singh</v>
      </c>
      <c r="N12" s="53" t="str">
        <f ca="1">IFERROR(__xludf.DUMMYFUNCTION("""COMPUTED_VALUE"""),"pawan.singh@deepmile.com")</f>
        <v>pawan.singh@deepmile.com</v>
      </c>
      <c r="O12" s="53" t="str">
        <f ca="1">IFERROR(__xludf.DUMMYFUNCTION("""COMPUTED_VALUE"""),"571-344-2345")</f>
        <v>571-344-2345</v>
      </c>
      <c r="P12" s="53" t="str">
        <f ca="1">IFERROR(__xludf.DUMMYFUNCTION("""COMPUTED_VALUE"""),"Avantika Shrivastava")</f>
        <v>Avantika Shrivastava</v>
      </c>
      <c r="Q12" s="53" t="str">
        <f ca="1">IFERROR(__xludf.DUMMYFUNCTION("""COMPUTED_VALUE"""),"avantika.shrivastava@deepmile.com  Hcats_sb@deepmile.com")</f>
        <v>avantika.shrivastava@deepmile.com  Hcats_sb@deepmile.com</v>
      </c>
      <c r="R12" s="53" t="str">
        <f ca="1">IFERROR(__xludf.DUMMYFUNCTION("""COMPUTED_VALUE"""),"703-825-0844")</f>
        <v>703-825-0844</v>
      </c>
    </row>
    <row r="13" spans="1:18" ht="30.75" customHeight="1" x14ac:dyDescent="0.25">
      <c r="A13" s="54" t="str">
        <f ca="1">IFERROR(__xludf.DUMMYFUNCTION("""COMPUTED_VALUE"""),"GS02Q16DCR0087")</f>
        <v>GS02Q16DCR0087</v>
      </c>
      <c r="B13" s="55" t="str">
        <f ca="1">IFERROR(__xludf.DUMMYFUNCTION("""COMPUTED_VALUE"""),"Duty First Consulting, LLC")</f>
        <v>Duty First Consulting, LLC</v>
      </c>
      <c r="C13" s="56" t="str">
        <f ca="1">IFERROR(__xludf.DUMMYFUNCTION("""COMPUTED_VALUE"""),"362623170")</f>
        <v>362623170</v>
      </c>
      <c r="D13" s="57" t="str">
        <f ca="1">IFERROR(__xludf.DUMMYFUNCTION("""COMPUTED_VALUE"""),"2650 Park Tower Dr., Ste. 100 Vienna, VA 22180")</f>
        <v>2650 Park Tower Dr., Ste. 100 Vienna, VA 22180</v>
      </c>
      <c r="E13" s="58" t="str">
        <f ca="1">IFERROR(__xludf.DUMMYFUNCTION("""COMPUTED_VALUE"""),"...")</f>
        <v>...</v>
      </c>
      <c r="F13" s="58" t="str">
        <f ca="1">IFERROR(__xludf.DUMMYFUNCTION("""COMPUTED_VALUE"""),"...")</f>
        <v>...</v>
      </c>
      <c r="G13" s="58" t="str">
        <f ca="1">IFERROR(__xludf.DUMMYFUNCTION("""COMPUTED_VALUE"""),"Yes")</f>
        <v>Yes</v>
      </c>
      <c r="H13" s="58" t="str">
        <f ca="1">IFERROR(__xludf.DUMMYFUNCTION("""COMPUTED_VALUE"""),"Yes")</f>
        <v>Yes</v>
      </c>
      <c r="I13" s="58" t="str">
        <f ca="1">IFERROR(__xludf.DUMMYFUNCTION("""COMPUTED_VALUE"""),"Yes")</f>
        <v>Yes</v>
      </c>
      <c r="J13" s="58" t="str">
        <f ca="1">IFERROR(__xludf.DUMMYFUNCTION("""COMPUTED_VALUE"""),"...")</f>
        <v>...</v>
      </c>
      <c r="K13" s="58" t="str">
        <f ca="1">IFERROR(__xludf.DUMMYFUNCTION("""COMPUTED_VALUE"""),"...")</f>
        <v>...</v>
      </c>
      <c r="L13" s="59" t="str">
        <f ca="1">IFERROR(__xludf.DUMMYFUNCTION("""COMPUTED_VALUE"""),"hcats@dutyfirst.com")</f>
        <v>hcats@dutyfirst.com</v>
      </c>
      <c r="M13" s="59" t="str">
        <f ca="1">IFERROR(__xludf.DUMMYFUNCTION("""COMPUTED_VALUE"""),"Jennifer Smiley")</f>
        <v>Jennifer Smiley</v>
      </c>
      <c r="N13" s="59" t="str">
        <f ca="1">IFERROR(__xludf.DUMMYFUNCTION("""COMPUTED_VALUE"""),"jen.smiley@dutyfirst.com")</f>
        <v>jen.smiley@dutyfirst.com</v>
      </c>
      <c r="O13" s="59" t="str">
        <f ca="1">IFERROR(__xludf.DUMMYFUNCTION("""COMPUTED_VALUE"""),"703-462-1431")</f>
        <v>703-462-1431</v>
      </c>
      <c r="P13" s="59" t="str">
        <f ca="1">IFERROR(__xludf.DUMMYFUNCTION("""COMPUTED_VALUE"""),"Kate Fennell")</f>
        <v>Kate Fennell</v>
      </c>
      <c r="Q13" s="59" t="str">
        <f ca="1">IFERROR(__xludf.DUMMYFUNCTION("""COMPUTED_VALUE"""),"kate.fennell@dutyfirst.com")</f>
        <v>kate.fennell@dutyfirst.com</v>
      </c>
      <c r="R13" s="59" t="str">
        <f ca="1">IFERROR(__xludf.DUMMYFUNCTION("""COMPUTED_VALUE"""),"703-462-1424")</f>
        <v>703-462-1424</v>
      </c>
    </row>
    <row r="14" spans="1:18" ht="30.75" customHeight="1" x14ac:dyDescent="0.25">
      <c r="A14" s="48" t="str">
        <f ca="1">IFERROR(__xludf.DUMMYFUNCTION("""COMPUTED_VALUE"""),"GS02Q16DCR0090")</f>
        <v>GS02Q16DCR0090</v>
      </c>
      <c r="B14" s="49" t="str">
        <f ca="1">IFERROR(__xludf.DUMMYFUNCTION("""COMPUTED_VALUE"""),"E-PAGA, INC")</f>
        <v>E-PAGA, INC</v>
      </c>
      <c r="C14" s="50" t="str">
        <f ca="1">IFERROR(__xludf.DUMMYFUNCTION("""COMPUTED_VALUE"""),"624889189")</f>
        <v>624889189</v>
      </c>
      <c r="D14" s="51" t="str">
        <f ca="1">IFERROR(__xludf.DUMMYFUNCTION("""COMPUTED_VALUE"""),"9201 Corporate Boulevard, Suite 430, Rockville, MD 20850")</f>
        <v>9201 Corporate Boulevard, Suite 430, Rockville, MD 20850</v>
      </c>
      <c r="E14" s="52" t="str">
        <f ca="1">IFERROR(__xludf.DUMMYFUNCTION("""COMPUTED_VALUE"""),"Yes")</f>
        <v>Yes</v>
      </c>
      <c r="F14" s="52" t="str">
        <f ca="1">IFERROR(__xludf.DUMMYFUNCTION("""COMPUTED_VALUE"""),"...")</f>
        <v>...</v>
      </c>
      <c r="G14" s="52" t="str">
        <f ca="1">IFERROR(__xludf.DUMMYFUNCTION("""COMPUTED_VALUE"""),"...")</f>
        <v>...</v>
      </c>
      <c r="H14" s="52" t="str">
        <f ca="1">IFERROR(__xludf.DUMMYFUNCTION("""COMPUTED_VALUE"""),"...")</f>
        <v>...</v>
      </c>
      <c r="I14" s="52" t="str">
        <f ca="1">IFERROR(__xludf.DUMMYFUNCTION("""COMPUTED_VALUE"""),"...")</f>
        <v>...</v>
      </c>
      <c r="J14" s="52" t="str">
        <f ca="1">IFERROR(__xludf.DUMMYFUNCTION("""COMPUTED_VALUE"""),"...")</f>
        <v>...</v>
      </c>
      <c r="K14" s="52" t="str">
        <f ca="1">IFERROR(__xludf.DUMMYFUNCTION("""COMPUTED_VALUE"""),"...")</f>
        <v>...</v>
      </c>
      <c r="L14" s="53" t="str">
        <f ca="1">IFERROR(__xludf.DUMMYFUNCTION("""COMPUTED_VALUE"""),"gsa.epaga.hcatssb@gmail.com")</f>
        <v>gsa.epaga.hcatssb@gmail.com</v>
      </c>
      <c r="M14" s="53" t="str">
        <f ca="1">IFERROR(__xludf.DUMMYFUNCTION("""COMPUTED_VALUE"""),"Anna Hodgson")</f>
        <v>Anna Hodgson</v>
      </c>
      <c r="N14" s="53" t="str">
        <f ca="1">IFERROR(__xludf.DUMMYFUNCTION("""COMPUTED_VALUE"""),"ahodgson@e-paga.com")</f>
        <v>ahodgson@e-paga.com</v>
      </c>
      <c r="O14" s="53" t="str">
        <f ca="1">IFERROR(__xludf.DUMMYFUNCTION("""COMPUTED_VALUE"""),"202-345-6585")</f>
        <v>202-345-6585</v>
      </c>
      <c r="P14" s="53" t="str">
        <f ca="1">IFERROR(__xludf.DUMMYFUNCTION("""COMPUTED_VALUE"""),"William Yu")</f>
        <v>William Yu</v>
      </c>
      <c r="Q14" s="53" t="str">
        <f ca="1">IFERROR(__xludf.DUMMYFUNCTION("""COMPUTED_VALUE"""),"wyu@e-paga.com")</f>
        <v>wyu@e-paga.com</v>
      </c>
      <c r="R14" s="53" t="str">
        <f ca="1">IFERROR(__xludf.DUMMYFUNCTION("""COMPUTED_VALUE"""),"301-346-9455")</f>
        <v>301-346-9455</v>
      </c>
    </row>
    <row r="15" spans="1:18" ht="30.75" customHeight="1" x14ac:dyDescent="0.25">
      <c r="A15" s="48" t="str">
        <f ca="1">IFERROR(__xludf.DUMMYFUNCTION("""COMPUTED_VALUE"""),"GS02Q16DCR0091")</f>
        <v>GS02Q16DCR0091</v>
      </c>
      <c r="B15" s="49" t="str">
        <f ca="1">IFERROR(__xludf.DUMMYFUNCTION("""COMPUTED_VALUE"""),"FYI-For Your Information, Inc")</f>
        <v>FYI-For Your Information, Inc</v>
      </c>
      <c r="C15" s="50" t="str">
        <f ca="1">IFERROR(__xludf.DUMMYFUNCTION("""COMPUTED_VALUE"""),"175319912")</f>
        <v>175319912</v>
      </c>
      <c r="D15" s="51" t="str">
        <f ca="1">IFERROR(__xludf.DUMMYFUNCTION("""COMPUTED_VALUE"""),"8484 Georgia Avenue, Suite 220, Silver Spring, MD 20910-5604")</f>
        <v>8484 Georgia Avenue, Suite 220, Silver Spring, MD 20910-5604</v>
      </c>
      <c r="E15" s="52" t="str">
        <f ca="1">IFERROR(__xludf.DUMMYFUNCTION("""COMPUTED_VALUE"""),"...")</f>
        <v>...</v>
      </c>
      <c r="F15" s="52" t="str">
        <f ca="1">IFERROR(__xludf.DUMMYFUNCTION("""COMPUTED_VALUE"""),"...")</f>
        <v>...</v>
      </c>
      <c r="G15" s="52" t="str">
        <f ca="1">IFERROR(__xludf.DUMMYFUNCTION("""COMPUTED_VALUE"""),"...")</f>
        <v>...</v>
      </c>
      <c r="H15" s="52" t="str">
        <f ca="1">IFERROR(__xludf.DUMMYFUNCTION("""COMPUTED_VALUE"""),"...")</f>
        <v>...</v>
      </c>
      <c r="I15" s="52" t="str">
        <f ca="1">IFERROR(__xludf.DUMMYFUNCTION("""COMPUTED_VALUE"""),"...")</f>
        <v>...</v>
      </c>
      <c r="J15" s="52" t="str">
        <f ca="1">IFERROR(__xludf.DUMMYFUNCTION("""COMPUTED_VALUE"""),"Yes")</f>
        <v>Yes</v>
      </c>
      <c r="K15" s="52" t="str">
        <f ca="1">IFERROR(__xludf.DUMMYFUNCTION("""COMPUTED_VALUE"""),"...")</f>
        <v>...</v>
      </c>
      <c r="L15" s="53"/>
      <c r="M15" s="53" t="str">
        <f ca="1">IFERROR(__xludf.DUMMYFUNCTION("""COMPUTED_VALUE"""),"Brooke Neblett")</f>
        <v>Brooke Neblett</v>
      </c>
      <c r="N15" s="53" t="str">
        <f ca="1">IFERROR(__xludf.DUMMYFUNCTION("""COMPUTED_VALUE"""),"bneblett@fyinfo.com")</f>
        <v>bneblett@fyinfo.com</v>
      </c>
      <c r="O15" s="53" t="str">
        <f ca="1">IFERROR(__xludf.DUMMYFUNCTION("""COMPUTED_VALUE"""),"301-245-6040")</f>
        <v>301-245-6040</v>
      </c>
      <c r="P15" s="53" t="str">
        <f ca="1">IFERROR(__xludf.DUMMYFUNCTION("""COMPUTED_VALUE"""),"Joseph Godbout")</f>
        <v>Joseph Godbout</v>
      </c>
      <c r="Q15" s="53" t="str">
        <f ca="1">IFERROR(__xludf.DUMMYFUNCTION("""COMPUTED_VALUE"""),"dgodbout@fyinfo.com")</f>
        <v>dgodbout@fyinfo.com</v>
      </c>
      <c r="R15" s="53" t="str">
        <f ca="1">IFERROR(__xludf.DUMMYFUNCTION("""COMPUTED_VALUE"""),"301-477-1107")</f>
        <v>301-477-1107</v>
      </c>
    </row>
    <row r="16" spans="1:18" ht="30.75" customHeight="1" x14ac:dyDescent="0.25">
      <c r="A16" s="54" t="str">
        <f ca="1">IFERROR(__xludf.DUMMYFUNCTION("""COMPUTED_VALUE"""),"47QREB21D0046")</f>
        <v>47QREB21D0046</v>
      </c>
      <c r="B16" s="55" t="str">
        <f ca="1">IFERROR(__xludf.DUMMYFUNCTION("""COMPUTED_VALUE"""),"HigherEchelon, Inc")</f>
        <v>HigherEchelon, Inc</v>
      </c>
      <c r="C16" s="56" t="str">
        <f ca="1">IFERROR(__xludf.DUMMYFUNCTION("""COMPUTED_VALUE"""),"832344639")</f>
        <v>832344639</v>
      </c>
      <c r="D16" s="57" t="str">
        <f ca="1">IFERROR(__xludf.DUMMYFUNCTION("""COMPUTED_VALUE"""),"101 Lowe Ave SE Ste 3B
Huntsville, AL, 35801-4220")</f>
        <v>101 Lowe Ave SE Ste 3B
Huntsville, AL, 35801-4220</v>
      </c>
      <c r="E16" s="58" t="str">
        <f ca="1">IFERROR(__xludf.DUMMYFUNCTION("""COMPUTED_VALUE"""),"...")</f>
        <v>...</v>
      </c>
      <c r="F16" s="58" t="str">
        <f ca="1">IFERROR(__xludf.DUMMYFUNCTION("""COMPUTED_VALUE"""),"...")</f>
        <v>...</v>
      </c>
      <c r="G16" s="58" t="str">
        <f ca="1">IFERROR(__xludf.DUMMYFUNCTION("""COMPUTED_VALUE"""),"Yes")</f>
        <v>Yes</v>
      </c>
      <c r="H16" s="58" t="str">
        <f ca="1">IFERROR(__xludf.DUMMYFUNCTION("""COMPUTED_VALUE"""),"Yes")</f>
        <v>Yes</v>
      </c>
      <c r="I16" s="58" t="str">
        <f ca="1">IFERROR(__xludf.DUMMYFUNCTION("""COMPUTED_VALUE"""),"Yes")</f>
        <v>Yes</v>
      </c>
      <c r="J16" s="58" t="str">
        <f ca="1">IFERROR(__xludf.DUMMYFUNCTION("""COMPUTED_VALUE"""),"...")</f>
        <v>...</v>
      </c>
      <c r="K16" s="58" t="str">
        <f ca="1">IFERROR(__xludf.DUMMYFUNCTION("""COMPUTED_VALUE"""),"...")</f>
        <v>...</v>
      </c>
      <c r="L16" s="59" t="str">
        <f ca="1">IFERROR(__xludf.DUMMYFUNCTION("""COMPUTED_VALUE"""),"he-hcatssbpool1@higherechelon.com")</f>
        <v>he-hcatssbpool1@higherechelon.com</v>
      </c>
      <c r="M16" s="59" t="str">
        <f ca="1">IFERROR(__xludf.DUMMYFUNCTION("""COMPUTED_VALUE"""),"Matt Schoenfeldt")</f>
        <v>Matt Schoenfeldt</v>
      </c>
      <c r="N16" s="59" t="str">
        <f ca="1">IFERROR(__xludf.DUMMYFUNCTION("""COMPUTED_VALUE"""),"matt.schoenfeldt@higherechelon.com")</f>
        <v>matt.schoenfeldt@higherechelon.com</v>
      </c>
      <c r="O16" s="59" t="str">
        <f ca="1">IFERROR(__xludf.DUMMYFUNCTION("""COMPUTED_VALUE"""),"845-662-6564")</f>
        <v>845-662-6564</v>
      </c>
      <c r="P16" s="59" t="str">
        <f ca="1">IFERROR(__xludf.DUMMYFUNCTION("""COMPUTED_VALUE"""),"Renee C. Elliott")</f>
        <v>Renee C. Elliott</v>
      </c>
      <c r="Q16" s="59" t="str">
        <f ca="1">IFERROR(__xludf.DUMMYFUNCTION("""COMPUTED_VALUE"""),"renee.elliott@higherechelon.com, jeffrey.mason@higherechelon.com")</f>
        <v>renee.elliott@higherechelon.com, jeffrey.mason@higherechelon.com</v>
      </c>
      <c r="R16" s="59" t="str">
        <f ca="1">IFERROR(__xludf.DUMMYFUNCTION("""COMPUTED_VALUE"""),"256-945-0091")</f>
        <v>256-945-0091</v>
      </c>
    </row>
    <row r="17" spans="1:18" ht="30.75" customHeight="1" x14ac:dyDescent="0.25">
      <c r="A17" s="48" t="str">
        <f ca="1">IFERROR(__xludf.DUMMYFUNCTION("""COMPUTED_VALUE"""),"GS02Q16DCR0093")</f>
        <v>GS02Q16DCR0093</v>
      </c>
      <c r="B17" s="49" t="str">
        <f ca="1">IFERROR(__xludf.DUMMYFUNCTION("""COMPUTED_VALUE"""),"Jefferson Consulting Group, LLC")</f>
        <v>Jefferson Consulting Group, LLC</v>
      </c>
      <c r="C17" s="50" t="str">
        <f ca="1">IFERROR(__xludf.DUMMYFUNCTION("""COMPUTED_VALUE"""),"059493648")</f>
        <v>059493648</v>
      </c>
      <c r="D17" s="51" t="str">
        <f ca="1">IFERROR(__xludf.DUMMYFUNCTION("""COMPUTED_VALUE"""),"1666 K St. NW Ste 1250 Washington, DC 20006")</f>
        <v>1666 K St. NW Ste 1250 Washington, DC 20006</v>
      </c>
      <c r="E17" s="52" t="str">
        <f ca="1">IFERROR(__xludf.DUMMYFUNCTION("""COMPUTED_VALUE"""),"...")</f>
        <v>...</v>
      </c>
      <c r="F17" s="52" t="str">
        <f ca="1">IFERROR(__xludf.DUMMYFUNCTION("""COMPUTED_VALUE"""),"...")</f>
        <v>...</v>
      </c>
      <c r="G17" s="52" t="str">
        <f ca="1">IFERROR(__xludf.DUMMYFUNCTION("""COMPUTED_VALUE"""),"...")</f>
        <v>...</v>
      </c>
      <c r="H17" s="52" t="str">
        <f ca="1">IFERROR(__xludf.DUMMYFUNCTION("""COMPUTED_VALUE"""),"...")</f>
        <v>...</v>
      </c>
      <c r="I17" s="52" t="str">
        <f ca="1">IFERROR(__xludf.DUMMYFUNCTION("""COMPUTED_VALUE"""),"...")</f>
        <v>...</v>
      </c>
      <c r="J17" s="52" t="str">
        <f ca="1">IFERROR(__xludf.DUMMYFUNCTION("""COMPUTED_VALUE"""),"Yes")</f>
        <v>Yes</v>
      </c>
      <c r="K17" s="52" t="str">
        <f ca="1">IFERROR(__xludf.DUMMYFUNCTION("""COMPUTED_VALUE"""),"...")</f>
        <v>...</v>
      </c>
      <c r="L17" s="53" t="str">
        <f ca="1">IFERROR(__xludf.DUMMYFUNCTION("""COMPUTED_VALUE"""),"hcats@jeffersonconsulting.com")</f>
        <v>hcats@jeffersonconsulting.com</v>
      </c>
      <c r="M17" s="53" t="str">
        <f ca="1">IFERROR(__xludf.DUMMYFUNCTION("""COMPUTED_VALUE"""),"Allan V. Burman")</f>
        <v>Allan V. Burman</v>
      </c>
      <c r="N17" s="53" t="str">
        <f ca="1">IFERROR(__xludf.DUMMYFUNCTION("""COMPUTED_VALUE"""),"aburman@jeffersonconsulting.com")</f>
        <v>aburman@jeffersonconsulting.com</v>
      </c>
      <c r="O17" s="53" t="str">
        <f ca="1">IFERROR(__xludf.DUMMYFUNCTION("""COMPUTED_VALUE"""),"202-626-8565")</f>
        <v>202-626-8565</v>
      </c>
      <c r="P17" s="53" t="str">
        <f ca="1">IFERROR(__xludf.DUMMYFUNCTION("""COMPUTED_VALUE"""),"Jeremy Arensdorf")</f>
        <v>Jeremy Arensdorf</v>
      </c>
      <c r="Q17" s="53" t="str">
        <f ca="1">IFERROR(__xludf.DUMMYFUNCTION("""COMPUTED_VALUE"""),"jarensdorf@jeffersonconsulting.com")</f>
        <v>jarensdorf@jeffersonconsulting.com</v>
      </c>
      <c r="R17" s="53" t="str">
        <f ca="1">IFERROR(__xludf.DUMMYFUNCTION("""COMPUTED_VALUE"""),"202-626-8775")</f>
        <v>202-626-8775</v>
      </c>
    </row>
    <row r="18" spans="1:18" ht="30.75" customHeight="1" x14ac:dyDescent="0.25">
      <c r="A18" s="54" t="str">
        <f ca="1">IFERROR(__xludf.DUMMYFUNCTION("""COMPUTED_VALUE"""),"GS02Q16DCR0094")</f>
        <v>GS02Q16DCR0094</v>
      </c>
      <c r="B18" s="55" t="str">
        <f ca="1">IFERROR(__xludf.DUMMYFUNCTION("""COMPUTED_VALUE"""),"Job Performance Systems, Inc")</f>
        <v>Job Performance Systems, Inc</v>
      </c>
      <c r="C18" s="56" t="str">
        <f ca="1">IFERROR(__xludf.DUMMYFUNCTION("""COMPUTED_VALUE"""),"956123053")</f>
        <v>956123053</v>
      </c>
      <c r="D18" s="57" t="str">
        <f ca="1">IFERROR(__xludf.DUMMYFUNCTION("""COMPUTED_VALUE"""),"100 N. Pitt St., Suite 425
Alexandria, VA  22314")</f>
        <v>100 N. Pitt St., Suite 425
Alexandria, VA  22314</v>
      </c>
      <c r="E18" s="58" t="str">
        <f ca="1">IFERROR(__xludf.DUMMYFUNCTION("""COMPUTED_VALUE"""),"...")</f>
        <v>...</v>
      </c>
      <c r="F18" s="58" t="str">
        <f ca="1">IFERROR(__xludf.DUMMYFUNCTION("""COMPUTED_VALUE"""),"...")</f>
        <v>...</v>
      </c>
      <c r="G18" s="58" t="str">
        <f ca="1">IFERROR(__xludf.DUMMYFUNCTION("""COMPUTED_VALUE"""),"...")</f>
        <v>...</v>
      </c>
      <c r="H18" s="58" t="str">
        <f ca="1">IFERROR(__xludf.DUMMYFUNCTION("""COMPUTED_VALUE"""),"...")</f>
        <v>...</v>
      </c>
      <c r="I18" s="58" t="str">
        <f ca="1">IFERROR(__xludf.DUMMYFUNCTION("""COMPUTED_VALUE"""),"...")</f>
        <v>...</v>
      </c>
      <c r="J18" s="58" t="str">
        <f ca="1">IFERROR(__xludf.DUMMYFUNCTION("""COMPUTED_VALUE"""),"...")</f>
        <v>...</v>
      </c>
      <c r="K18" s="58" t="str">
        <f ca="1">IFERROR(__xludf.DUMMYFUNCTION("""COMPUTED_VALUE"""),"...")</f>
        <v>...</v>
      </c>
      <c r="L18" s="59" t="str">
        <f ca="1">IFERROR(__xludf.DUMMYFUNCTION("""COMPUTED_VALUE"""),"HCaTS-SB@jps-usa.com")</f>
        <v>HCaTS-SB@jps-usa.com</v>
      </c>
      <c r="M18" s="59" t="str">
        <f ca="1">IFERROR(__xludf.DUMMYFUNCTION("""COMPUTED_VALUE"""),"Doug Rosenthal")</f>
        <v>Doug Rosenthal</v>
      </c>
      <c r="N18" s="59" t="str">
        <f ca="1">IFERROR(__xludf.DUMMYFUNCTION("""COMPUTED_VALUE"""),"drosenthal@jps-usa.com")</f>
        <v>drosenthal@jps-usa.com</v>
      </c>
      <c r="O18" s="59" t="str">
        <f ca="1">IFERROR(__xludf.DUMMYFUNCTION("""COMPUTED_VALUE"""),"(571) 278-3509")</f>
        <v>(571) 278-3509</v>
      </c>
      <c r="P18" s="59" t="str">
        <f ca="1">IFERROR(__xludf.DUMMYFUNCTION("""COMPUTED_VALUE"""),"Jolene Kramer")</f>
        <v>Jolene Kramer</v>
      </c>
      <c r="Q18" s="59" t="str">
        <f ca="1">IFERROR(__xludf.DUMMYFUNCTION("""COMPUTED_VALUE"""),"jkramer@jps-usa.com")</f>
        <v>jkramer@jps-usa.com</v>
      </c>
      <c r="R18" s="59" t="str">
        <f ca="1">IFERROR(__xludf.DUMMYFUNCTION("""COMPUTED_VALUE"""),"415-454-4722")</f>
        <v>415-454-4722</v>
      </c>
    </row>
    <row r="19" spans="1:18" ht="30.75" customHeight="1" x14ac:dyDescent="0.25">
      <c r="A19" s="48" t="str">
        <f ca="1">IFERROR(__xludf.DUMMYFUNCTION("""COMPUTED_VALUE"""),"47QREB22D0008")</f>
        <v>47QREB22D0008</v>
      </c>
      <c r="B19" s="49" t="str">
        <f ca="1">IFERROR(__xludf.DUMMYFUNCTION("""COMPUTED_VALUE"""),"JRogers Consulting, LLC")</f>
        <v>JRogers Consulting, LLC</v>
      </c>
      <c r="C19" s="50" t="str">
        <f ca="1">IFERROR(__xludf.DUMMYFUNCTION("""COMPUTED_VALUE"""),"828460043")</f>
        <v>828460043</v>
      </c>
      <c r="D19" s="51" t="str">
        <f ca="1">IFERROR(__xludf.DUMMYFUNCTION("""COMPUTED_VALUE"""),"14 Rosecrest Ave
Alexandria, VA, 22301-1528 ")</f>
        <v xml:space="preserve">14 Rosecrest Ave
Alexandria, VA, 22301-1528 </v>
      </c>
      <c r="E19" s="52" t="str">
        <f ca="1">IFERROR(__xludf.DUMMYFUNCTION("""COMPUTED_VALUE"""),"...")</f>
        <v>...</v>
      </c>
      <c r="F19" s="52" t="str">
        <f ca="1">IFERROR(__xludf.DUMMYFUNCTION("""COMPUTED_VALUE"""),"...")</f>
        <v>...</v>
      </c>
      <c r="G19" s="52" t="str">
        <f ca="1">IFERROR(__xludf.DUMMYFUNCTION("""COMPUTED_VALUE"""),"...")</f>
        <v>...</v>
      </c>
      <c r="H19" s="52" t="str">
        <f ca="1">IFERROR(__xludf.DUMMYFUNCTION("""COMPUTED_VALUE"""),"...")</f>
        <v>...</v>
      </c>
      <c r="I19" s="52" t="str">
        <f ca="1">IFERROR(__xludf.DUMMYFUNCTION("""COMPUTED_VALUE"""),"...")</f>
        <v>...</v>
      </c>
      <c r="J19" s="52" t="str">
        <f ca="1">IFERROR(__xludf.DUMMYFUNCTION("""COMPUTED_VALUE"""),"Yes")</f>
        <v>Yes</v>
      </c>
      <c r="K19" s="52" t="str">
        <f ca="1">IFERROR(__xludf.DUMMYFUNCTION("""COMPUTED_VALUE"""),"...")</f>
        <v>...</v>
      </c>
      <c r="L19" s="53" t="str">
        <f ca="1">IFERROR(__xludf.DUMMYFUNCTION("""COMPUTED_VALUE"""),"HCaTS.SB@jrcllc.com")</f>
        <v>HCaTS.SB@jrcllc.com</v>
      </c>
      <c r="M19" s="53" t="str">
        <f ca="1">IFERROR(__xludf.DUMMYFUNCTION("""COMPUTED_VALUE"""),"Jill Rogers")</f>
        <v>Jill Rogers</v>
      </c>
      <c r="N19" s="53" t="str">
        <f ca="1">IFERROR(__xludf.DUMMYFUNCTION("""COMPUTED_VALUE"""),"jill.rogers@jrcllc.com")</f>
        <v>jill.rogers@jrcllc.com</v>
      </c>
      <c r="O19" s="53" t="str">
        <f ca="1">IFERROR(__xludf.DUMMYFUNCTION("""COMPUTED_VALUE"""),"703-568-0715")</f>
        <v>703-568-0715</v>
      </c>
      <c r="P19" s="53" t="str">
        <f ca="1">IFERROR(__xludf.DUMMYFUNCTION("""COMPUTED_VALUE"""),"Dan Rogers")</f>
        <v>Dan Rogers</v>
      </c>
      <c r="Q19" s="53" t="str">
        <f ca="1">IFERROR(__xludf.DUMMYFUNCTION("""COMPUTED_VALUE"""),"dan.rogers@jrcllc.com")</f>
        <v>dan.rogers@jrcllc.com</v>
      </c>
      <c r="R19" s="53" t="str">
        <f ca="1">IFERROR(__xludf.DUMMYFUNCTION("""COMPUTED_VALUE"""),"703-861-2602")</f>
        <v>703-861-2602</v>
      </c>
    </row>
    <row r="20" spans="1:18" ht="30.75" customHeight="1" x14ac:dyDescent="0.25">
      <c r="A20" s="54" t="str">
        <f ca="1">IFERROR(__xludf.DUMMYFUNCTION("""COMPUTED_VALUE"""),"47QREB22D0002")</f>
        <v>47QREB22D0002</v>
      </c>
      <c r="B20" s="55" t="str">
        <f ca="1">IFERROR(__xludf.DUMMYFUNCTION("""COMPUTED_VALUE"""),"KeyBridge Technologies, Inc")</f>
        <v>KeyBridge Technologies, Inc</v>
      </c>
      <c r="C20" s="56" t="str">
        <f ca="1">IFERROR(__xludf.DUMMYFUNCTION("""COMPUTED_VALUE"""),"125944442")</f>
        <v>125944442</v>
      </c>
      <c r="D20" s="57" t="str">
        <f ca="1">IFERROR(__xludf.DUMMYFUNCTION("""COMPUTED_VALUE"""),"4415 Highline Boulevard, Oklahoma City, OK 73108-1759")</f>
        <v>4415 Highline Boulevard, Oklahoma City, OK 73108-1759</v>
      </c>
      <c r="E20" s="58" t="str">
        <f ca="1">IFERROR(__xludf.DUMMYFUNCTION("""COMPUTED_VALUE"""),"Yes")</f>
        <v>Yes</v>
      </c>
      <c r="F20" s="58" t="str">
        <f ca="1">IFERROR(__xludf.DUMMYFUNCTION("""COMPUTED_VALUE"""),"...")</f>
        <v>...</v>
      </c>
      <c r="G20" s="58" t="str">
        <f ca="1">IFERROR(__xludf.DUMMYFUNCTION("""COMPUTED_VALUE"""),"...")</f>
        <v>...</v>
      </c>
      <c r="H20" s="58" t="str">
        <f ca="1">IFERROR(__xludf.DUMMYFUNCTION("""COMPUTED_VALUE"""),"...")</f>
        <v>...</v>
      </c>
      <c r="I20" s="58" t="str">
        <f ca="1">IFERROR(__xludf.DUMMYFUNCTION("""COMPUTED_VALUE"""),"...")</f>
        <v>...</v>
      </c>
      <c r="J20" s="58" t="str">
        <f ca="1">IFERROR(__xludf.DUMMYFUNCTION("""COMPUTED_VALUE"""),"Yes")</f>
        <v>Yes</v>
      </c>
      <c r="K20" s="58" t="str">
        <f ca="1">IFERROR(__xludf.DUMMYFUNCTION("""COMPUTED_VALUE"""),"...")</f>
        <v>...</v>
      </c>
      <c r="L20" s="59" t="str">
        <f ca="1">IFERROR(__xludf.DUMMYFUNCTION("""COMPUTED_VALUE"""),"HCaTS@keybridgeti.com")</f>
        <v>HCaTS@keybridgeti.com</v>
      </c>
      <c r="M20" s="59" t="str">
        <f ca="1">IFERROR(__xludf.DUMMYFUNCTION("""COMPUTED_VALUE"""),"Simon Hsu")</f>
        <v>Simon Hsu</v>
      </c>
      <c r="N20" s="59" t="str">
        <f ca="1">IFERROR(__xludf.DUMMYFUNCTION("""COMPUTED_VALUE"""),"Simon.Hsu@KeyBridgeTI.com")</f>
        <v>Simon.Hsu@KeyBridgeTI.com</v>
      </c>
      <c r="O20" s="59" t="str">
        <f ca="1">IFERROR(__xludf.DUMMYFUNCTION("""COMPUTED_VALUE"""),"405-213-1880")</f>
        <v>405-213-1880</v>
      </c>
      <c r="P20" s="59" t="str">
        <f ca="1">IFERROR(__xludf.DUMMYFUNCTION("""COMPUTED_VALUE"""),"Kip Harbert")</f>
        <v>Kip Harbert</v>
      </c>
      <c r="Q20" s="59" t="str">
        <f ca="1">IFERROR(__xludf.DUMMYFUNCTION("""COMPUTED_VALUE"""),"Contracts@keybridgeti.com")</f>
        <v>Contracts@keybridgeti.com</v>
      </c>
      <c r="R20" s="59" t="str">
        <f ca="1">IFERROR(__xludf.DUMMYFUNCTION("""COMPUTED_VALUE"""),"(405) 213-1880")</f>
        <v>(405) 213-1880</v>
      </c>
    </row>
    <row r="21" spans="1:18" ht="30.75" customHeight="1" x14ac:dyDescent="0.25">
      <c r="A21" s="48" t="str">
        <f ca="1">IFERROR(__xludf.DUMMYFUNCTION("""COMPUTED_VALUE"""),"GS02Q16DCR0095")</f>
        <v>GS02Q16DCR0095</v>
      </c>
      <c r="B21" s="49" t="str">
        <f ca="1">IFERROR(__xludf.DUMMYFUNCTION("""COMPUTED_VALUE"""),"KnowledgeBank, Inc")</f>
        <v>KnowledgeBank, Inc</v>
      </c>
      <c r="C21" s="50" t="str">
        <f ca="1">IFERROR(__xludf.DUMMYFUNCTION("""COMPUTED_VALUE"""),"132498200")</f>
        <v>132498200</v>
      </c>
      <c r="D21" s="51" t="str">
        <f ca="1">IFERROR(__xludf.DUMMYFUNCTION("""COMPUTED_VALUE"""),"203 Harrison St SE, Suite J, Leesburg, VA 20175")</f>
        <v>203 Harrison St SE, Suite J, Leesburg, VA 20175</v>
      </c>
      <c r="E21" s="52" t="str">
        <f ca="1">IFERROR(__xludf.DUMMYFUNCTION("""COMPUTED_VALUE"""),"...")</f>
        <v>...</v>
      </c>
      <c r="F21" s="52" t="str">
        <f ca="1">IFERROR(__xludf.DUMMYFUNCTION("""COMPUTED_VALUE"""),"Yes")</f>
        <v>Yes</v>
      </c>
      <c r="G21" s="52" t="str">
        <f ca="1">IFERROR(__xludf.DUMMYFUNCTION("""COMPUTED_VALUE"""),"...")</f>
        <v>...</v>
      </c>
      <c r="H21" s="52" t="str">
        <f ca="1">IFERROR(__xludf.DUMMYFUNCTION("""COMPUTED_VALUE"""),"...")</f>
        <v>...</v>
      </c>
      <c r="I21" s="52" t="str">
        <f ca="1">IFERROR(__xludf.DUMMYFUNCTION("""COMPUTED_VALUE"""),"...")</f>
        <v>...</v>
      </c>
      <c r="J21" s="52" t="str">
        <f ca="1">IFERROR(__xludf.DUMMYFUNCTION("""COMPUTED_VALUE"""),"...")</f>
        <v>...</v>
      </c>
      <c r="K21" s="52" t="str">
        <f ca="1">IFERROR(__xludf.DUMMYFUNCTION("""COMPUTED_VALUE"""),"...")</f>
        <v>...</v>
      </c>
      <c r="L21" s="53" t="str">
        <f ca="1">IFERROR(__xludf.DUMMYFUNCTION("""COMPUTED_VALUE"""),"hcats@knowledgebank.us.com")</f>
        <v>hcats@knowledgebank.us.com</v>
      </c>
      <c r="M21" s="53" t="str">
        <f ca="1">IFERROR(__xludf.DUMMYFUNCTION("""COMPUTED_VALUE"""),"Michele Borg")</f>
        <v>Michele Borg</v>
      </c>
      <c r="N21" s="53" t="str">
        <f ca="1">IFERROR(__xludf.DUMMYFUNCTION("""COMPUTED_VALUE"""),"mborg@knowledgebank.us.com")</f>
        <v>mborg@knowledgebank.us.com</v>
      </c>
      <c r="O21" s="53" t="str">
        <f ca="1">IFERROR(__xludf.DUMMYFUNCTION("""COMPUTED_VALUE"""),"703-448-8070 x 703")</f>
        <v>703-448-8070 x 703</v>
      </c>
      <c r="P21" s="53" t="str">
        <f ca="1">IFERROR(__xludf.DUMMYFUNCTION("""COMPUTED_VALUE"""),"Julia Whitcup")</f>
        <v>Julia Whitcup</v>
      </c>
      <c r="Q21" s="53" t="str">
        <f ca="1">IFERROR(__xludf.DUMMYFUNCTION("""COMPUTED_VALUE"""),"jwhitcup@knowledgebank.us.com")</f>
        <v>jwhitcup@knowledgebank.us.com</v>
      </c>
      <c r="R21" s="53" t="str">
        <f ca="1">IFERROR(__xludf.DUMMYFUNCTION("""COMPUTED_VALUE"""),"703-448-8070 x 702")</f>
        <v>703-448-8070 x 702</v>
      </c>
    </row>
    <row r="22" spans="1:18" ht="30.75" customHeight="1" x14ac:dyDescent="0.25">
      <c r="A22" s="54" t="str">
        <f ca="1">IFERROR(__xludf.DUMMYFUNCTION("""COMPUTED_VALUE"""),"GS02Q16DCR0096")</f>
        <v>GS02Q16DCR0096</v>
      </c>
      <c r="B22" s="55" t="str">
        <f ca="1">IFERROR(__xludf.DUMMYFUNCTION("""COMPUTED_VALUE"""),"LinkVisum Consulting Group, Inc")</f>
        <v>LinkVisum Consulting Group, Inc</v>
      </c>
      <c r="C22" s="56" t="str">
        <f ca="1">IFERROR(__xludf.DUMMYFUNCTION("""COMPUTED_VALUE"""),"798244468")</f>
        <v>798244468</v>
      </c>
      <c r="D22" s="57" t="str">
        <f ca="1">IFERROR(__xludf.DUMMYFUNCTION("""COMPUTED_VALUE"""),"8300 Boone Blvd., Suite 730, Vienna, VA 22182")</f>
        <v>8300 Boone Blvd., Suite 730, Vienna, VA 22182</v>
      </c>
      <c r="E22" s="58" t="str">
        <f ca="1">IFERROR(__xludf.DUMMYFUNCTION("""COMPUTED_VALUE"""),"Yes")</f>
        <v>Yes</v>
      </c>
      <c r="F22" s="58" t="str">
        <f ca="1">IFERROR(__xludf.DUMMYFUNCTION("""COMPUTED_VALUE"""),"...")</f>
        <v>...</v>
      </c>
      <c r="G22" s="58" t="str">
        <f ca="1">IFERROR(__xludf.DUMMYFUNCTION("""COMPUTED_VALUE"""),"...")</f>
        <v>...</v>
      </c>
      <c r="H22" s="58" t="str">
        <f ca="1">IFERROR(__xludf.DUMMYFUNCTION("""COMPUTED_VALUE"""),"...")</f>
        <v>...</v>
      </c>
      <c r="I22" s="58" t="str">
        <f ca="1">IFERROR(__xludf.DUMMYFUNCTION("""COMPUTED_VALUE"""),"...")</f>
        <v>...</v>
      </c>
      <c r="J22" s="58" t="str">
        <f ca="1">IFERROR(__xludf.DUMMYFUNCTION("""COMPUTED_VALUE"""),"Yes")</f>
        <v>Yes</v>
      </c>
      <c r="K22" s="58" t="str">
        <f ca="1">IFERROR(__xludf.DUMMYFUNCTION("""COMPUTED_VALUE"""),"...")</f>
        <v>...</v>
      </c>
      <c r="L22" s="59" t="str">
        <f ca="1">IFERROR(__xludf.DUMMYFUNCTION("""COMPUTED_VALUE"""),"HCATS@linkvisum.com")</f>
        <v>HCATS@linkvisum.com</v>
      </c>
      <c r="M22" s="59" t="str">
        <f ca="1">IFERROR(__xludf.DUMMYFUNCTION("""COMPUTED_VALUE"""),"Keith Moody")</f>
        <v>Keith Moody</v>
      </c>
      <c r="N22" s="59" t="str">
        <f ca="1">IFERROR(__xludf.DUMMYFUNCTION("""COMPUTED_VALUE"""),"kmoody@linkvisum.com")</f>
        <v>kmoody@linkvisum.com</v>
      </c>
      <c r="O22" s="59" t="str">
        <f ca="1">IFERROR(__xludf.DUMMYFUNCTION("""COMPUTED_VALUE"""),"(703) 442-4575")</f>
        <v>(703) 442-4575</v>
      </c>
      <c r="P22" s="59" t="str">
        <f ca="1">IFERROR(__xludf.DUMMYFUNCTION("""COMPUTED_VALUE"""),"Joyce Harvey")</f>
        <v>Joyce Harvey</v>
      </c>
      <c r="Q22" s="59" t="str">
        <f ca="1">IFERROR(__xludf.DUMMYFUNCTION("""COMPUTED_VALUE"""),"jharvey@linkvisum.com, rschmitz@linkvisum.com")</f>
        <v>jharvey@linkvisum.com, rschmitz@linkvisum.com</v>
      </c>
      <c r="R22" s="59" t="str">
        <f ca="1">IFERROR(__xludf.DUMMYFUNCTION("""COMPUTED_VALUE"""),"(703) 405-9237")</f>
        <v>(703) 405-9237</v>
      </c>
    </row>
    <row r="23" spans="1:18" ht="30.75" customHeight="1" x14ac:dyDescent="0.25">
      <c r="A23" s="48" t="str">
        <f ca="1">IFERROR(__xludf.DUMMYFUNCTION("""COMPUTED_VALUE"""),"GS02Q16DCR0097")</f>
        <v>GS02Q16DCR0097</v>
      </c>
      <c r="B23" s="49" t="str">
        <f ca="1">IFERROR(__xludf.DUMMYFUNCTION("""COMPUTED_VALUE"""),"Management Solutions Consulting Group, Inc")</f>
        <v>Management Solutions Consulting Group, Inc</v>
      </c>
      <c r="C23" s="50" t="str">
        <f ca="1">IFERROR(__xludf.DUMMYFUNCTION("""COMPUTED_VALUE"""),"113343870")</f>
        <v>113343870</v>
      </c>
      <c r="D23" s="51" t="str">
        <f ca="1">IFERROR(__xludf.DUMMYFUNCTION("""COMPUTED_VALUE"""),"4601 Presidents Drive, Suite 200, Lanham, MD 20706")</f>
        <v>4601 Presidents Drive, Suite 200, Lanham, MD 20706</v>
      </c>
      <c r="E23" s="52" t="str">
        <f ca="1">IFERROR(__xludf.DUMMYFUNCTION("""COMPUTED_VALUE"""),"Yes")</f>
        <v>Yes</v>
      </c>
      <c r="F23" s="52" t="str">
        <f ca="1">IFERROR(__xludf.DUMMYFUNCTION("""COMPUTED_VALUE"""),"...")</f>
        <v>...</v>
      </c>
      <c r="G23" s="52" t="str">
        <f ca="1">IFERROR(__xludf.DUMMYFUNCTION("""COMPUTED_VALUE"""),"...")</f>
        <v>...</v>
      </c>
      <c r="H23" s="52" t="str">
        <f ca="1">IFERROR(__xludf.DUMMYFUNCTION("""COMPUTED_VALUE"""),"...")</f>
        <v>...</v>
      </c>
      <c r="I23" s="52" t="str">
        <f ca="1">IFERROR(__xludf.DUMMYFUNCTION("""COMPUTED_VALUE"""),"...")</f>
        <v>...</v>
      </c>
      <c r="J23" s="52" t="str">
        <f ca="1">IFERROR(__xludf.DUMMYFUNCTION("""COMPUTED_VALUE"""),"Yes")</f>
        <v>Yes</v>
      </c>
      <c r="K23" s="52" t="str">
        <f ca="1">IFERROR(__xludf.DUMMYFUNCTION("""COMPUTED_VALUE"""),"Yes")</f>
        <v>Yes</v>
      </c>
      <c r="L23" s="53" t="str">
        <f ca="1">IFERROR(__xludf.DUMMYFUNCTION("""COMPUTED_VALUE"""),"hcats@mscginc.com")</f>
        <v>hcats@mscginc.com</v>
      </c>
      <c r="M23" s="53" t="str">
        <f ca="1">IFERROR(__xludf.DUMMYFUNCTION("""COMPUTED_VALUE"""),"Kelly G Burks")</f>
        <v>Kelly G Burks</v>
      </c>
      <c r="N23" s="53" t="str">
        <f ca="1">IFERROR(__xludf.DUMMYFUNCTION("""COMPUTED_VALUE"""),"kburks@mscginc.com")</f>
        <v>kburks@mscginc.com</v>
      </c>
      <c r="O23" s="53" t="str">
        <f ca="1">IFERROR(__xludf.DUMMYFUNCTION("""COMPUTED_VALUE"""),"301-577-3100 x 111")</f>
        <v>301-577-3100 x 111</v>
      </c>
      <c r="P23" s="53" t="str">
        <f ca="1">IFERROR(__xludf.DUMMYFUNCTION("""COMPUTED_VALUE"""),"Juanita Walker")</f>
        <v>Juanita Walker</v>
      </c>
      <c r="Q23" s="53" t="str">
        <f ca="1">IFERROR(__xludf.DUMMYFUNCTION("""COMPUTED_VALUE"""),"jwalker@mscginc.com")</f>
        <v>jwalker@mscginc.com</v>
      </c>
      <c r="R23" s="53" t="str">
        <f ca="1">IFERROR(__xludf.DUMMYFUNCTION("""COMPUTED_VALUE"""),"301-577-3100")</f>
        <v>301-577-3100</v>
      </c>
    </row>
    <row r="24" spans="1:18" ht="30.75" customHeight="1" x14ac:dyDescent="0.25">
      <c r="A24" s="54" t="str">
        <f ca="1">IFERROR(__xludf.DUMMYFUNCTION("""COMPUTED_VALUE"""),"GS02Q16DCR0109")</f>
        <v>GS02Q16DCR0109</v>
      </c>
      <c r="B24" s="55" t="str">
        <f ca="1">IFERROR(__xludf.DUMMYFUNCTION("""COMPUTED_VALUE"""),"Millennium Group International LLC, The")</f>
        <v>Millennium Group International LLC, The</v>
      </c>
      <c r="C24" s="56" t="str">
        <f ca="1">IFERROR(__xludf.DUMMYFUNCTION("""COMPUTED_VALUE"""),"128132094")</f>
        <v>128132094</v>
      </c>
      <c r="D24" s="57" t="str">
        <f ca="1">IFERROR(__xludf.DUMMYFUNCTION("""COMPUTED_VALUE"""),"46169 Westlake Drive, Suite 240, Sterling, VA 20165")</f>
        <v>46169 Westlake Drive, Suite 240, Sterling, VA 20165</v>
      </c>
      <c r="E24" s="58" t="str">
        <f ca="1">IFERROR(__xludf.DUMMYFUNCTION("""COMPUTED_VALUE"""),"Yes")</f>
        <v>Yes</v>
      </c>
      <c r="F24" s="58" t="str">
        <f ca="1">IFERROR(__xludf.DUMMYFUNCTION("""COMPUTED_VALUE"""),"...")</f>
        <v>...</v>
      </c>
      <c r="G24" s="58" t="str">
        <f ca="1">IFERROR(__xludf.DUMMYFUNCTION("""COMPUTED_VALUE"""),"...")</f>
        <v>...</v>
      </c>
      <c r="H24" s="58" t="str">
        <f ca="1">IFERROR(__xludf.DUMMYFUNCTION("""COMPUTED_VALUE"""),"...")</f>
        <v>...</v>
      </c>
      <c r="I24" s="58" t="str">
        <f ca="1">IFERROR(__xludf.DUMMYFUNCTION("""COMPUTED_VALUE"""),"...")</f>
        <v>...</v>
      </c>
      <c r="J24" s="58" t="str">
        <f ca="1">IFERROR(__xludf.DUMMYFUNCTION("""COMPUTED_VALUE"""),"...")</f>
        <v>...</v>
      </c>
      <c r="K24" s="58" t="str">
        <f ca="1">IFERROR(__xludf.DUMMYFUNCTION("""COMPUTED_VALUE"""),"...")</f>
        <v>...</v>
      </c>
      <c r="L24" s="59" t="str">
        <f ca="1">IFERROR(__xludf.DUMMYFUNCTION("""COMPUTED_VALUE"""),"hcats@tmgi.net")</f>
        <v>hcats@tmgi.net</v>
      </c>
      <c r="M24" s="59" t="str">
        <f ca="1">IFERROR(__xludf.DUMMYFUNCTION("""COMPUTED_VALUE"""),"Jeffrey Rocha")</f>
        <v>Jeffrey Rocha</v>
      </c>
      <c r="N24" s="59" t="str">
        <f ca="1">IFERROR(__xludf.DUMMYFUNCTION("""COMPUTED_VALUE"""),"jeffrocha@tmgi.net")</f>
        <v>jeffrocha@tmgi.net</v>
      </c>
      <c r="O24" s="59" t="str">
        <f ca="1">IFERROR(__xludf.DUMMYFUNCTION("""COMPUTED_VALUE"""),"703-260-6710")</f>
        <v>703-260-6710</v>
      </c>
      <c r="P24" s="59" t="str">
        <f ca="1">IFERROR(__xludf.DUMMYFUNCTION("""COMPUTED_VALUE"""),"Julie Coccari")</f>
        <v>Julie Coccari</v>
      </c>
      <c r="Q24" s="59" t="str">
        <f ca="1">IFERROR(__xludf.DUMMYFUNCTION("""COMPUTED_VALUE"""),"julie.coccari@tmgi.net")</f>
        <v>julie.coccari@tmgi.net</v>
      </c>
      <c r="R24" s="59" t="str">
        <f ca="1">IFERROR(__xludf.DUMMYFUNCTION("""COMPUTED_VALUE"""),"9143238694")</f>
        <v>9143238694</v>
      </c>
    </row>
    <row r="25" spans="1:18" ht="30.75" customHeight="1" x14ac:dyDescent="0.25">
      <c r="A25" s="48" t="str">
        <f ca="1">IFERROR(__xludf.DUMMYFUNCTION("""COMPUTED_VALUE"""),"GS02Q17DCR0006")</f>
        <v>GS02Q17DCR0006</v>
      </c>
      <c r="B25" s="49" t="str">
        <f ca="1">IFERROR(__xludf.DUMMYFUNCTION("""COMPUTED_VALUE"""),"Oban Corporation")</f>
        <v>Oban Corporation</v>
      </c>
      <c r="C25" s="50" t="str">
        <f ca="1">IFERROR(__xludf.DUMMYFUNCTION("""COMPUTED_VALUE"""),"809638765")</f>
        <v>809638765</v>
      </c>
      <c r="D25" s="51" t="str">
        <f ca="1">IFERROR(__xludf.DUMMYFUNCTION("""COMPUTED_VALUE"""),"8300 Boone Blvd., Suite 500, Vienna, VA 22182   ")</f>
        <v xml:space="preserve">8300 Boone Blvd., Suite 500, Vienna, VA 22182   </v>
      </c>
      <c r="E25" s="52" t="str">
        <f ca="1">IFERROR(__xludf.DUMMYFUNCTION("""COMPUTED_VALUE"""),"Yes")</f>
        <v>Yes</v>
      </c>
      <c r="F25" s="52" t="str">
        <f ca="1">IFERROR(__xludf.DUMMYFUNCTION("""COMPUTED_VALUE"""),"...")</f>
        <v>...</v>
      </c>
      <c r="G25" s="52" t="str">
        <f ca="1">IFERROR(__xludf.DUMMYFUNCTION("""COMPUTED_VALUE"""),"Yes")</f>
        <v>Yes</v>
      </c>
      <c r="H25" s="52" t="str">
        <f ca="1">IFERROR(__xludf.DUMMYFUNCTION("""COMPUTED_VALUE"""),"Yes")</f>
        <v>Yes</v>
      </c>
      <c r="I25" s="52" t="str">
        <f ca="1">IFERROR(__xludf.DUMMYFUNCTION("""COMPUTED_VALUE"""),"...")</f>
        <v>...</v>
      </c>
      <c r="J25" s="52" t="str">
        <f ca="1">IFERROR(__xludf.DUMMYFUNCTION("""COMPUTED_VALUE"""),"...")</f>
        <v>...</v>
      </c>
      <c r="K25" s="52" t="str">
        <f ca="1">IFERROR(__xludf.DUMMYFUNCTION("""COMPUTED_VALUE"""),"...")</f>
        <v>...</v>
      </c>
      <c r="L25" s="53" t="str">
        <f ca="1">IFERROR(__xludf.DUMMYFUNCTION("""COMPUTED_VALUE"""),"hcats@oban-corp.com")</f>
        <v>hcats@oban-corp.com</v>
      </c>
      <c r="M25" s="53" t="str">
        <f ca="1">IFERROR(__xludf.DUMMYFUNCTION("""COMPUTED_VALUE"""),"Ron Irondi")</f>
        <v>Ron Irondi</v>
      </c>
      <c r="N25" s="53" t="str">
        <f ca="1">IFERROR(__xludf.DUMMYFUNCTION("""COMPUTED_VALUE"""),"rirondi@oban-corp.com")</f>
        <v>rirondi@oban-corp.com</v>
      </c>
      <c r="O25" s="53" t="str">
        <f ca="1">IFERROR(__xludf.DUMMYFUNCTION("""COMPUTED_VALUE"""),"202-999-9395")</f>
        <v>202-999-9395</v>
      </c>
      <c r="P25" s="53" t="str">
        <f ca="1">IFERROR(__xludf.DUMMYFUNCTION("""COMPUTED_VALUE"""),"Ngozi Azubike")</f>
        <v>Ngozi Azubike</v>
      </c>
      <c r="Q25" s="53" t="str">
        <f ca="1">IFERROR(__xludf.DUMMYFUNCTION("""COMPUTED_VALUE"""),"nazubike@oban-corp.com")</f>
        <v>nazubike@oban-corp.com</v>
      </c>
      <c r="R25" s="53" t="str">
        <f ca="1">IFERROR(__xludf.DUMMYFUNCTION("""COMPUTED_VALUE"""),"202-841-3459")</f>
        <v>202-841-3459</v>
      </c>
    </row>
    <row r="26" spans="1:18" ht="30.75" customHeight="1" x14ac:dyDescent="0.25">
      <c r="A26" s="54" t="str">
        <f ca="1">IFERROR(__xludf.DUMMYFUNCTION("""COMPUTED_VALUE"""),"GS02Q17DCR0009")</f>
        <v>GS02Q17DCR0009</v>
      </c>
      <c r="B26" s="55" t="str">
        <f ca="1">IFERROR(__xludf.DUMMYFUNCTION("""COMPUTED_VALUE"""),"Pal Technologies, Inc")</f>
        <v>Pal Technologies, Inc</v>
      </c>
      <c r="C26" s="56" t="str">
        <f ca="1">IFERROR(__xludf.DUMMYFUNCTION("""COMPUTED_VALUE"""),"192252377")</f>
        <v>192252377</v>
      </c>
      <c r="D26" s="57" t="str">
        <f ca="1">IFERROR(__xludf.DUMMYFUNCTION("""COMPUTED_VALUE"""),"3050 CHAIN BRIDGE RD STE 315 , FAIRFAX, VA 22030-2834")</f>
        <v>3050 CHAIN BRIDGE RD STE 315 , FAIRFAX, VA 22030-2834</v>
      </c>
      <c r="E26" s="58" t="str">
        <f ca="1">IFERROR(__xludf.DUMMYFUNCTION("""COMPUTED_VALUE"""),"...")</f>
        <v>...</v>
      </c>
      <c r="F26" s="58" t="str">
        <f ca="1">IFERROR(__xludf.DUMMYFUNCTION("""COMPUTED_VALUE"""),"...")</f>
        <v>...</v>
      </c>
      <c r="G26" s="58" t="str">
        <f ca="1">IFERROR(__xludf.DUMMYFUNCTION("""COMPUTED_VALUE"""),"Yes")</f>
        <v>Yes</v>
      </c>
      <c r="H26" s="58" t="str">
        <f ca="1">IFERROR(__xludf.DUMMYFUNCTION("""COMPUTED_VALUE"""),"...")</f>
        <v>...</v>
      </c>
      <c r="I26" s="58" t="str">
        <f ca="1">IFERROR(__xludf.DUMMYFUNCTION("""COMPUTED_VALUE"""),"...")</f>
        <v>...</v>
      </c>
      <c r="J26" s="58" t="str">
        <f ca="1">IFERROR(__xludf.DUMMYFUNCTION("""COMPUTED_VALUE"""),"...")</f>
        <v>...</v>
      </c>
      <c r="K26" s="58" t="str">
        <f ca="1">IFERROR(__xludf.DUMMYFUNCTION("""COMPUTED_VALUE"""),"...")</f>
        <v>...</v>
      </c>
      <c r="L26" s="59" t="str">
        <f ca="1">IFERROR(__xludf.DUMMYFUNCTION("""COMPUTED_VALUE"""),"chaskins@pal-tech.com")</f>
        <v>chaskins@pal-tech.com</v>
      </c>
      <c r="M26" s="59" t="str">
        <f ca="1">IFERROR(__xludf.DUMMYFUNCTION("""COMPUTED_VALUE"""),"Christopher R. Embert")</f>
        <v>Christopher R. Embert</v>
      </c>
      <c r="N26" s="59" t="str">
        <f ca="1">IFERROR(__xludf.DUMMYFUNCTION("""COMPUTED_VALUE"""),"cembert@pal-tech.com")</f>
        <v>cembert@pal-tech.com</v>
      </c>
      <c r="O26" s="59" t="str">
        <f ca="1">IFERROR(__xludf.DUMMYFUNCTION("""COMPUTED_VALUE"""),"703-243-0495, ext. 1509")</f>
        <v>703-243-0495, ext. 1509</v>
      </c>
      <c r="P26" s="59" t="str">
        <f ca="1">IFERROR(__xludf.DUMMYFUNCTION("""COMPUTED_VALUE"""),"Cherise Haskins")</f>
        <v>Cherise Haskins</v>
      </c>
      <c r="Q26" s="59" t="str">
        <f ca="1">IFERROR(__xludf.DUMMYFUNCTION("""COMPUTED_VALUE"""),"chaskins@pal-tech.com")</f>
        <v>chaskins@pal-tech.com</v>
      </c>
      <c r="R26" s="59" t="str">
        <f ca="1">IFERROR(__xludf.DUMMYFUNCTION("""COMPUTED_VALUE"""),"703-243-0495, ext. 1304")</f>
        <v>703-243-0495, ext. 1304</v>
      </c>
    </row>
    <row r="27" spans="1:18" ht="30.75" customHeight="1" x14ac:dyDescent="0.25">
      <c r="A27" s="48" t="str">
        <f ca="1">IFERROR(__xludf.DUMMYFUNCTION("""COMPUTED_VALUE"""),"GS02Q16DCR0100")</f>
        <v>GS02Q16DCR0100</v>
      </c>
      <c r="B27" s="49" t="str">
        <f ca="1">IFERROR(__xludf.DUMMYFUNCTION("""COMPUTED_VALUE"""),"Parker Tide Corp")</f>
        <v>Parker Tide Corp</v>
      </c>
      <c r="C27" s="50" t="str">
        <f ca="1">IFERROR(__xludf.DUMMYFUNCTION("""COMPUTED_VALUE"""),"009043600")</f>
        <v>009043600</v>
      </c>
      <c r="D27" s="51" t="str">
        <f ca="1">IFERROR(__xludf.DUMMYFUNCTION("""COMPUTED_VALUE"""),"818 Connectiuct Ave NW, Suite 325, Washington, DC 20006")</f>
        <v>818 Connectiuct Ave NW, Suite 325, Washington, DC 20006</v>
      </c>
      <c r="E27" s="52" t="str">
        <f ca="1">IFERROR(__xludf.DUMMYFUNCTION("""COMPUTED_VALUE"""),"...")</f>
        <v>...</v>
      </c>
      <c r="F27" s="52" t="str">
        <f ca="1">IFERROR(__xludf.DUMMYFUNCTION("""COMPUTED_VALUE"""),"...")</f>
        <v>...</v>
      </c>
      <c r="G27" s="52" t="str">
        <f ca="1">IFERROR(__xludf.DUMMYFUNCTION("""COMPUTED_VALUE"""),"Yes")</f>
        <v>Yes</v>
      </c>
      <c r="H27" s="52" t="str">
        <f ca="1">IFERROR(__xludf.DUMMYFUNCTION("""COMPUTED_VALUE"""),"...")</f>
        <v>...</v>
      </c>
      <c r="I27" s="52" t="str">
        <f ca="1">IFERROR(__xludf.DUMMYFUNCTION("""COMPUTED_VALUE"""),"Yes")</f>
        <v>Yes</v>
      </c>
      <c r="J27" s="52" t="str">
        <f ca="1">IFERROR(__xludf.DUMMYFUNCTION("""COMPUTED_VALUE"""),"...")</f>
        <v>...</v>
      </c>
      <c r="K27" s="52" t="str">
        <f ca="1">IFERROR(__xludf.DUMMYFUNCTION("""COMPUTED_VALUE"""),"...")</f>
        <v>...</v>
      </c>
      <c r="L27" s="53" t="str">
        <f ca="1">IFERROR(__xludf.DUMMYFUNCTION("""COMPUTED_VALUE"""),"contracts@parkertide.com")</f>
        <v>contracts@parkertide.com</v>
      </c>
      <c r="M27" s="53" t="str">
        <f ca="1">IFERROR(__xludf.DUMMYFUNCTION("""COMPUTED_VALUE"""),"Anthony Parker              Martin Rathmann")</f>
        <v>Anthony Parker              Martin Rathmann</v>
      </c>
      <c r="N27" s="53" t="str">
        <f ca="1">IFERROR(__xludf.DUMMYFUNCTION("""COMPUTED_VALUE"""),"parker@parkertide.com, rathmann@parkertide.com")</f>
        <v>parker@parkertide.com, rathmann@parkertide.com</v>
      </c>
      <c r="O27" s="53" t="str">
        <f ca="1">IFERROR(__xludf.DUMMYFUNCTION("""COMPUTED_VALUE"""),"202-833-6100")</f>
        <v>202-833-6100</v>
      </c>
      <c r="P27" s="53" t="str">
        <f ca="1">IFERROR(__xludf.DUMMYFUNCTION("""COMPUTED_VALUE"""),"Shawn Laird")</f>
        <v>Shawn Laird</v>
      </c>
      <c r="Q27" s="53" t="str">
        <f ca="1">IFERROR(__xludf.DUMMYFUNCTION("""COMPUTED_VALUE"""),"laird@parkertide.com")</f>
        <v>laird@parkertide.com</v>
      </c>
      <c r="R27" s="53" t="str">
        <f ca="1">IFERROR(__xludf.DUMMYFUNCTION("""COMPUTED_VALUE"""),"202-833-6100")</f>
        <v>202-833-6100</v>
      </c>
    </row>
    <row r="28" spans="1:18" ht="30.75" customHeight="1" x14ac:dyDescent="0.25">
      <c r="A28" s="54" t="str">
        <f ca="1">IFERROR(__xludf.DUMMYFUNCTION("""COMPUTED_VALUE"""),"GS02Q16DCR0101")</f>
        <v>GS02Q16DCR0101</v>
      </c>
      <c r="B28" s="55" t="str">
        <f ca="1">IFERROR(__xludf.DUMMYFUNCTION("""COMPUTED_VALUE"""),"Performance Excellence Partners, LLC (PEP)")</f>
        <v>Performance Excellence Partners, LLC (PEP)</v>
      </c>
      <c r="C28" s="56" t="str">
        <f ca="1">IFERROR(__xludf.DUMMYFUNCTION("""COMPUTED_VALUE"""),"062756759")</f>
        <v>062756759</v>
      </c>
      <c r="D28" s="57" t="str">
        <f ca="1">IFERROR(__xludf.DUMMYFUNCTION("""COMPUTED_VALUE"""),"7911 Professional Circle Huntington Beach, CA 92648")</f>
        <v>7911 Professional Circle Huntington Beach, CA 92648</v>
      </c>
      <c r="E28" s="58" t="str">
        <f ca="1">IFERROR(__xludf.DUMMYFUNCTION("""COMPUTED_VALUE"""),"Yes")</f>
        <v>Yes</v>
      </c>
      <c r="F28" s="58" t="str">
        <f ca="1">IFERROR(__xludf.DUMMYFUNCTION("""COMPUTED_VALUE"""),"...")</f>
        <v>...</v>
      </c>
      <c r="G28" s="58" t="str">
        <f ca="1">IFERROR(__xludf.DUMMYFUNCTION("""COMPUTED_VALUE"""),"...")</f>
        <v>...</v>
      </c>
      <c r="H28" s="58" t="str">
        <f ca="1">IFERROR(__xludf.DUMMYFUNCTION("""COMPUTED_VALUE"""),"...")</f>
        <v>...</v>
      </c>
      <c r="I28" s="58" t="str">
        <f ca="1">IFERROR(__xludf.DUMMYFUNCTION("""COMPUTED_VALUE"""),"...")</f>
        <v>...</v>
      </c>
      <c r="J28" s="58" t="str">
        <f ca="1">IFERROR(__xludf.DUMMYFUNCTION("""COMPUTED_VALUE"""),"Yes")</f>
        <v>Yes</v>
      </c>
      <c r="K28" s="58" t="str">
        <f ca="1">IFERROR(__xludf.DUMMYFUNCTION("""COMPUTED_VALUE"""),"...")</f>
        <v>...</v>
      </c>
      <c r="L28" s="59" t="str">
        <f ca="1">IFERROR(__xludf.DUMMYFUNCTION("""COMPUTED_VALUE"""),"HCaTS@PerformExcel.com")</f>
        <v>HCaTS@PerformExcel.com</v>
      </c>
      <c r="M28" s="59" t="str">
        <f ca="1">IFERROR(__xludf.DUMMYFUNCTION("""COMPUTED_VALUE"""),"Jaime Ramirez")</f>
        <v>Jaime Ramirez</v>
      </c>
      <c r="N28" s="59" t="str">
        <f ca="1">IFERROR(__xludf.DUMMYFUNCTION("""COMPUTED_VALUE"""),"jramirez@performexcel.com, tberg@performexcel.com")</f>
        <v>jramirez@performexcel.com, tberg@performexcel.com</v>
      </c>
      <c r="O28" s="59" t="str">
        <f ca="1">IFERROR(__xludf.DUMMYFUNCTION("""COMPUTED_VALUE"""),"714-459-3564")</f>
        <v>714-459-3564</v>
      </c>
      <c r="P28" s="59" t="str">
        <f ca="1">IFERROR(__xludf.DUMMYFUNCTION("""COMPUTED_VALUE"""),"Carrie Thorne")</f>
        <v>Carrie Thorne</v>
      </c>
      <c r="Q28" s="59" t="str">
        <f ca="1">IFERROR(__xludf.DUMMYFUNCTION("""COMPUTED_VALUE""")," cthorne@performexcel.com")</f>
        <v xml:space="preserve"> cthorne@performexcel.com</v>
      </c>
      <c r="R28" s="59" t="str">
        <f ca="1">IFERROR(__xludf.DUMMYFUNCTION("""COMPUTED_VALUE"""),"714-459-3568")</f>
        <v>714-459-3568</v>
      </c>
    </row>
    <row r="29" spans="1:18" ht="30.75" customHeight="1" x14ac:dyDescent="0.25">
      <c r="A29" s="48" t="str">
        <f ca="1">IFERROR(__xludf.DUMMYFUNCTION("""COMPUTED_VALUE"""),"GS02Q16DCR0102")</f>
        <v>GS02Q16DCR0102</v>
      </c>
      <c r="B29" s="49" t="str">
        <f ca="1">IFERROR(__xludf.DUMMYFUNCTION("""COMPUTED_VALUE"""),"Piton Science &amp; Technology LLC")</f>
        <v>Piton Science &amp; Technology LLC</v>
      </c>
      <c r="C29" s="50" t="str">
        <f ca="1">IFERROR(__xludf.DUMMYFUNCTION("""COMPUTED_VALUE"""),"786931050")</f>
        <v>786931050</v>
      </c>
      <c r="D29" s="51" t="str">
        <f ca="1">IFERROR(__xludf.DUMMYFUNCTION("""COMPUTED_VALUE"""),"2696 Linda Marie Drive, Oakton, VA 22124-1111")</f>
        <v>2696 Linda Marie Drive, Oakton, VA 22124-1111</v>
      </c>
      <c r="E29" s="52" t="str">
        <f ca="1">IFERROR(__xludf.DUMMYFUNCTION("""COMPUTED_VALUE"""),"...")</f>
        <v>...</v>
      </c>
      <c r="F29" s="52" t="str">
        <f ca="1">IFERROR(__xludf.DUMMYFUNCTION("""COMPUTED_VALUE"""),"...")</f>
        <v>...</v>
      </c>
      <c r="G29" s="52" t="str">
        <f ca="1">IFERROR(__xludf.DUMMYFUNCTION("""COMPUTED_VALUE"""),"Yes")</f>
        <v>Yes</v>
      </c>
      <c r="H29" s="52" t="str">
        <f ca="1">IFERROR(__xludf.DUMMYFUNCTION("""COMPUTED_VALUE"""),"Yes")</f>
        <v>Yes</v>
      </c>
      <c r="I29" s="52" t="str">
        <f ca="1">IFERROR(__xludf.DUMMYFUNCTION("""COMPUTED_VALUE"""),"...")</f>
        <v>...</v>
      </c>
      <c r="J29" s="52" t="str">
        <f ca="1">IFERROR(__xludf.DUMMYFUNCTION("""COMPUTED_VALUE"""),"...")</f>
        <v>...</v>
      </c>
      <c r="K29" s="52" t="str">
        <f ca="1">IFERROR(__xludf.DUMMYFUNCTION("""COMPUTED_VALUE"""),"...")</f>
        <v>...</v>
      </c>
      <c r="L29" s="53" t="str">
        <f ca="1">IFERROR(__xludf.DUMMYFUNCTION("""COMPUTED_VALUE"""),"UHCATS@pitonscience.com")</f>
        <v>UHCATS@pitonscience.com</v>
      </c>
      <c r="M29" s="53" t="str">
        <f ca="1">IFERROR(__xludf.DUMMYFUNCTION("""COMPUTED_VALUE"""),"William S. Murphy Jr.")</f>
        <v>William S. Murphy Jr.</v>
      </c>
      <c r="N29" s="53" t="str">
        <f ca="1">IFERROR(__xludf.DUMMYFUNCTION("""COMPUTED_VALUE"""),"murphyw@pitonscience.com")</f>
        <v>murphyw@pitonscience.com</v>
      </c>
      <c r="O29" s="53" t="str">
        <f ca="1">IFERROR(__xludf.DUMMYFUNCTION("""COMPUTED_VALUE"""),"703-349-3879")</f>
        <v>703-349-3879</v>
      </c>
      <c r="P29" s="53" t="str">
        <f ca="1">IFERROR(__xludf.DUMMYFUNCTION("""COMPUTED_VALUE"""),"Charles Pate")</f>
        <v>Charles Pate</v>
      </c>
      <c r="Q29" s="53" t="str">
        <f ca="1">IFERROR(__xludf.DUMMYFUNCTION("""COMPUTED_VALUE"""),"patec@pitonscience.com")</f>
        <v>patec@pitonscience.com</v>
      </c>
      <c r="R29" s="53" t="str">
        <f ca="1">IFERROR(__xludf.DUMMYFUNCTION("""COMPUTED_VALUE"""),"703-309-6922")</f>
        <v>703-309-6922</v>
      </c>
    </row>
    <row r="30" spans="1:18" ht="30.75" customHeight="1" x14ac:dyDescent="0.25">
      <c r="A30" s="54" t="str">
        <f ca="1">IFERROR(__xludf.DUMMYFUNCTION("""COMPUTED_VALUE"""),"GS02Q16DCR0104")</f>
        <v>GS02Q16DCR0104</v>
      </c>
      <c r="B30" s="55" t="str">
        <f ca="1">IFERROR(__xludf.DUMMYFUNCTION("""COMPUTED_VALUE"""),"Prairie Quest Inc")</f>
        <v>Prairie Quest Inc</v>
      </c>
      <c r="C30" s="56" t="str">
        <f ca="1">IFERROR(__xludf.DUMMYFUNCTION("""COMPUTED_VALUE"""),"154694298")</f>
        <v>154694298</v>
      </c>
      <c r="D30" s="57" t="str">
        <f ca="1">IFERROR(__xludf.DUMMYFUNCTION("""COMPUTED_VALUE"""),"4211 Hobson Ct., Suite A, Fort Wayne, IN 46815")</f>
        <v>4211 Hobson Ct., Suite A, Fort Wayne, IN 46815</v>
      </c>
      <c r="E30" s="58" t="str">
        <f ca="1">IFERROR(__xludf.DUMMYFUNCTION("""COMPUTED_VALUE"""),"Yes")</f>
        <v>Yes</v>
      </c>
      <c r="F30" s="58" t="str">
        <f ca="1">IFERROR(__xludf.DUMMYFUNCTION("""COMPUTED_VALUE"""),"Yes")</f>
        <v>Yes</v>
      </c>
      <c r="G30" s="58" t="str">
        <f ca="1">IFERROR(__xludf.DUMMYFUNCTION("""COMPUTED_VALUE"""),"...")</f>
        <v>...</v>
      </c>
      <c r="H30" s="58" t="str">
        <f ca="1">IFERROR(__xludf.DUMMYFUNCTION("""COMPUTED_VALUE"""),"...")</f>
        <v>...</v>
      </c>
      <c r="I30" s="58" t="str">
        <f ca="1">IFERROR(__xludf.DUMMYFUNCTION("""COMPUTED_VALUE"""),"...")</f>
        <v>...</v>
      </c>
      <c r="J30" s="58" t="str">
        <f ca="1">IFERROR(__xludf.DUMMYFUNCTION("""COMPUTED_VALUE"""),"Yes")</f>
        <v>Yes</v>
      </c>
      <c r="K30" s="58" t="str">
        <f ca="1">IFERROR(__xludf.DUMMYFUNCTION("""COMPUTED_VALUE"""),"Yes")</f>
        <v>Yes</v>
      </c>
      <c r="L30" s="59" t="str">
        <f ca="1">IFERROR(__xludf.DUMMYFUNCTION("""COMPUTED_VALUE"""),"Stacey@PrairieQuest.com")</f>
        <v>Stacey@PrairieQuest.com</v>
      </c>
      <c r="M30" s="59" t="str">
        <f ca="1">IFERROR(__xludf.DUMMYFUNCTION("""COMPUTED_VALUE"""),"Stacey E Smith")</f>
        <v>Stacey E Smith</v>
      </c>
      <c r="N30" s="59" t="str">
        <f ca="1">IFERROR(__xludf.DUMMYFUNCTION("""COMPUTED_VALUE"""),"stacey@pqcworks.com")</f>
        <v>stacey@pqcworks.com</v>
      </c>
      <c r="O30" s="59" t="str">
        <f ca="1">IFERROR(__xludf.DUMMYFUNCTION("""COMPUTED_VALUE"""),"260-420-7374 x 105")</f>
        <v>260-420-7374 x 105</v>
      </c>
      <c r="P30" s="59" t="str">
        <f ca="1">IFERROR(__xludf.DUMMYFUNCTION("""COMPUTED_VALUE"""),"Patrick Sidey")</f>
        <v>Patrick Sidey</v>
      </c>
      <c r="Q30" s="59" t="str">
        <f ca="1">IFERROR(__xludf.DUMMYFUNCTION("""COMPUTED_VALUE"""),"psidey@pqcworks.com")</f>
        <v>psidey@pqcworks.com</v>
      </c>
      <c r="R30" s="59" t="str">
        <f ca="1">IFERROR(__xludf.DUMMYFUNCTION("""COMPUTED_VALUE"""),"260-420-7374 x 106")</f>
        <v>260-420-7374 x 106</v>
      </c>
    </row>
    <row r="31" spans="1:18" ht="30.75" customHeight="1" x14ac:dyDescent="0.25">
      <c r="A31" s="48" t="str">
        <f ca="1">IFERROR(__xludf.DUMMYFUNCTION("""COMPUTED_VALUE"""),"GS02Q16DCR0105")</f>
        <v>GS02Q16DCR0105</v>
      </c>
      <c r="B31" s="49" t="str">
        <f ca="1">IFERROR(__xludf.DUMMYFUNCTION("""COMPUTED_VALUE"""),"R3 Government Solutions, LLC")</f>
        <v>R3 Government Solutions, LLC</v>
      </c>
      <c r="C31" s="50" t="str">
        <f ca="1">IFERROR(__xludf.DUMMYFUNCTION("""COMPUTED_VALUE"""),"831214619")</f>
        <v>831214619</v>
      </c>
      <c r="D31" s="51" t="str">
        <f ca="1">IFERROR(__xludf.DUMMYFUNCTION("""COMPUTED_VALUE"""),"4201 Wilson Boulevard, 3rd Floor, Arlington, VA 22203")</f>
        <v>4201 Wilson Boulevard, 3rd Floor, Arlington, VA 22203</v>
      </c>
      <c r="E31" s="52" t="str">
        <f ca="1">IFERROR(__xludf.DUMMYFUNCTION("""COMPUTED_VALUE"""),"...")</f>
        <v>...</v>
      </c>
      <c r="F31" s="52" t="str">
        <f ca="1">IFERROR(__xludf.DUMMYFUNCTION("""COMPUTED_VALUE"""),"...")</f>
        <v>...</v>
      </c>
      <c r="G31" s="52" t="str">
        <f ca="1">IFERROR(__xludf.DUMMYFUNCTION("""COMPUTED_VALUE"""),"...")</f>
        <v>...</v>
      </c>
      <c r="H31" s="52" t="str">
        <f ca="1">IFERROR(__xludf.DUMMYFUNCTION("""COMPUTED_VALUE"""),"...")</f>
        <v>...</v>
      </c>
      <c r="I31" s="52" t="str">
        <f ca="1">IFERROR(__xludf.DUMMYFUNCTION("""COMPUTED_VALUE"""),"...")</f>
        <v>...</v>
      </c>
      <c r="J31" s="52" t="str">
        <f ca="1">IFERROR(__xludf.DUMMYFUNCTION("""COMPUTED_VALUE"""),"Yes")</f>
        <v>Yes</v>
      </c>
      <c r="K31" s="52" t="str">
        <f ca="1">IFERROR(__xludf.DUMMYFUNCTION("""COMPUTED_VALUE"""),"...")</f>
        <v>...</v>
      </c>
      <c r="L31" s="53" t="str">
        <f ca="1">IFERROR(__xludf.DUMMYFUNCTION("""COMPUTED_VALUE"""),"HCaTS-SB@r3consulting.com")</f>
        <v>HCaTS-SB@r3consulting.com</v>
      </c>
      <c r="M31" s="53" t="str">
        <f ca="1">IFERROR(__xludf.DUMMYFUNCTION("""COMPUTED_VALUE"""),"Kristin Berry")</f>
        <v>Kristin Berry</v>
      </c>
      <c r="N31" s="53" t="str">
        <f ca="1">IFERROR(__xludf.DUMMYFUNCTION("""COMPUTED_VALUE"""),"kberry@r3consulting.com")</f>
        <v>kberry@r3consulting.com</v>
      </c>
      <c r="O31" s="53" t="str">
        <f ca="1">IFERROR(__xludf.DUMMYFUNCTION("""COMPUTED_VALUE"""),"703-662-4525")</f>
        <v>703-662-4525</v>
      </c>
      <c r="P31" s="53" t="str">
        <f ca="1">IFERROR(__xludf.DUMMYFUNCTION("""COMPUTED_VALUE"""),"Justin Johnson")</f>
        <v>Justin Johnson</v>
      </c>
      <c r="Q31" s="53" t="str">
        <f ca="1">IFERROR(__xludf.DUMMYFUNCTION("""COMPUTED_VALUE"""),"jjohnson@r3consulting.com")</f>
        <v>jjohnson@r3consulting.com</v>
      </c>
      <c r="R31" s="53" t="str">
        <f ca="1">IFERROR(__xludf.DUMMYFUNCTION("""COMPUTED_VALUE"""),"573-529-8620")</f>
        <v>573-529-8620</v>
      </c>
    </row>
    <row r="32" spans="1:18" ht="30.75" customHeight="1" x14ac:dyDescent="0.25">
      <c r="A32" s="54" t="str">
        <f ca="1">IFERROR(__xludf.DUMMYFUNCTION("""COMPUTED_VALUE"""),"GS02Q16DCR0107")</f>
        <v>GS02Q16DCR0107</v>
      </c>
      <c r="B32" s="55" t="str">
        <f ca="1">IFERROR(__xludf.DUMMYFUNCTION("""COMPUTED_VALUE"""),"RiVidium Inc")</f>
        <v>RiVidium Inc</v>
      </c>
      <c r="C32" s="56" t="str">
        <f ca="1">IFERROR(__xludf.DUMMYFUNCTION("""COMPUTED_VALUE"""),"827489035")</f>
        <v>827489035</v>
      </c>
      <c r="D32" s="57" t="str">
        <f ca="1">IFERROR(__xludf.DUMMYFUNCTION("""COMPUTED_VALUE"""),"10530 Linden Lake Plaza, Suite 200, Manassas, VA 20109")</f>
        <v>10530 Linden Lake Plaza, Suite 200, Manassas, VA 20109</v>
      </c>
      <c r="E32" s="58" t="str">
        <f ca="1">IFERROR(__xludf.DUMMYFUNCTION("""COMPUTED_VALUE"""),"Yes")</f>
        <v>Yes</v>
      </c>
      <c r="F32" s="58" t="str">
        <f ca="1">IFERROR(__xludf.DUMMYFUNCTION("""COMPUTED_VALUE"""),"...")</f>
        <v>...</v>
      </c>
      <c r="G32" s="58" t="str">
        <f ca="1">IFERROR(__xludf.DUMMYFUNCTION("""COMPUTED_VALUE"""),"Yes")</f>
        <v>Yes</v>
      </c>
      <c r="H32" s="58" t="str">
        <f ca="1">IFERROR(__xludf.DUMMYFUNCTION("""COMPUTED_VALUE"""),"Yes")</f>
        <v>Yes</v>
      </c>
      <c r="I32" s="58" t="str">
        <f ca="1">IFERROR(__xludf.DUMMYFUNCTION("""COMPUTED_VALUE"""),"Yes")</f>
        <v>Yes</v>
      </c>
      <c r="J32" s="58" t="str">
        <f ca="1">IFERROR(__xludf.DUMMYFUNCTION("""COMPUTED_VALUE"""),"...")</f>
        <v>...</v>
      </c>
      <c r="K32" s="58" t="str">
        <f ca="1">IFERROR(__xludf.DUMMYFUNCTION("""COMPUTED_VALUE"""),"...")</f>
        <v>...</v>
      </c>
      <c r="L32" s="59" t="str">
        <f ca="1">IFERROR(__xludf.DUMMYFUNCTION("""COMPUTED_VALUE"""),"proposals@rividium.com")</f>
        <v>proposals@rividium.com</v>
      </c>
      <c r="M32" s="59" t="str">
        <f ca="1">IFERROR(__xludf.DUMMYFUNCTION("""COMPUTED_VALUE"""),"Richard Trimber")</f>
        <v>Richard Trimber</v>
      </c>
      <c r="N32" s="59" t="str">
        <f ca="1">IFERROR(__xludf.DUMMYFUNCTION("""COMPUTED_VALUE"""),"Richard.trimber@rividium.com")</f>
        <v>Richard.trimber@rividium.com</v>
      </c>
      <c r="O32" s="59" t="str">
        <f ca="1">IFERROR(__xludf.DUMMYFUNCTION("""COMPUTED_VALUE"""),"703-366-3900 ext 101")</f>
        <v>703-366-3900 ext 101</v>
      </c>
      <c r="P32" s="59" t="str">
        <f ca="1">IFERROR(__xludf.DUMMYFUNCTION("""COMPUTED_VALUE"""),"Lisa Baird")</f>
        <v>Lisa Baird</v>
      </c>
      <c r="Q32" s="59" t="str">
        <f ca="1">IFERROR(__xludf.DUMMYFUNCTION("""COMPUTED_VALUE"""),"lisa.baird@rividium.com")</f>
        <v>lisa.baird@rividium.com</v>
      </c>
      <c r="R32" s="59" t="str">
        <f ca="1">IFERROR(__xludf.DUMMYFUNCTION("""COMPUTED_VALUE"""),"703-366-3900 ext 110")</f>
        <v>703-366-3900 ext 110</v>
      </c>
    </row>
    <row r="33" spans="1:18" ht="30.75" customHeight="1" x14ac:dyDescent="0.25">
      <c r="A33" s="48" t="str">
        <f ca="1">IFERROR(__xludf.DUMMYFUNCTION("""COMPUTED_VALUE"""),"GS02Q16DCR0108")</f>
        <v>GS02Q16DCR0108</v>
      </c>
      <c r="B33" s="49" t="str">
        <f ca="1">IFERROR(__xludf.DUMMYFUNCTION("""COMPUTED_VALUE"""),"Technology, Automation &amp; Management Inc")</f>
        <v>Technology, Automation &amp; Management Inc</v>
      </c>
      <c r="C33" s="50" t="str">
        <f ca="1">IFERROR(__xludf.DUMMYFUNCTION("""COMPUTED_VALUE"""),"147004451")</f>
        <v>147004451</v>
      </c>
      <c r="D33" s="51" t="str">
        <f ca="1">IFERROR(__xludf.DUMMYFUNCTION("""COMPUTED_VALUE"""),"8280 Willow Oaks Corporate Drive, Suite 620, Fairfax, VA 22031")</f>
        <v>8280 Willow Oaks Corporate Drive, Suite 620, Fairfax, VA 22031</v>
      </c>
      <c r="E33" s="52" t="str">
        <f ca="1">IFERROR(__xludf.DUMMYFUNCTION("""COMPUTED_VALUE"""),"Yes")</f>
        <v>Yes</v>
      </c>
      <c r="F33" s="52" t="str">
        <f ca="1">IFERROR(__xludf.DUMMYFUNCTION("""COMPUTED_VALUE"""),"...")</f>
        <v>...</v>
      </c>
      <c r="G33" s="52" t="str">
        <f ca="1">IFERROR(__xludf.DUMMYFUNCTION("""COMPUTED_VALUE"""),"Yes")</f>
        <v>Yes</v>
      </c>
      <c r="H33" s="52" t="str">
        <f ca="1">IFERROR(__xludf.DUMMYFUNCTION("""COMPUTED_VALUE"""),"...")</f>
        <v>...</v>
      </c>
      <c r="I33" s="52" t="str">
        <f ca="1">IFERROR(__xludf.DUMMYFUNCTION("""COMPUTED_VALUE"""),"Yes")</f>
        <v>Yes</v>
      </c>
      <c r="J33" s="52" t="str">
        <f ca="1">IFERROR(__xludf.DUMMYFUNCTION("""COMPUTED_VALUE"""),"...")</f>
        <v>...</v>
      </c>
      <c r="K33" s="52" t="str">
        <f ca="1">IFERROR(__xludf.DUMMYFUNCTION("""COMPUTED_VALUE"""),"...")</f>
        <v>...</v>
      </c>
      <c r="L33" s="53" t="str">
        <f ca="1">IFERROR(__xludf.DUMMYFUNCTION("""COMPUTED_VALUE"""),"CDAVIS@TEAMCONSULT.COM")</f>
        <v>CDAVIS@TEAMCONSULT.COM</v>
      </c>
      <c r="M33" s="53" t="str">
        <f ca="1">IFERROR(__xludf.DUMMYFUNCTION("""COMPUTED_VALUE"""),"John Douglas Edgar")</f>
        <v>John Douglas Edgar</v>
      </c>
      <c r="N33" s="53" t="str">
        <f ca="1">IFERROR(__xludf.DUMMYFUNCTION("""COMPUTED_VALUE"""),"jedgar@teamconsult.com")</f>
        <v>jedgar@teamconsult.com</v>
      </c>
      <c r="O33" s="53" t="str">
        <f ca="1">IFERROR(__xludf.DUMMYFUNCTION("""COMPUTED_VALUE"""),"703-347-7634")</f>
        <v>703-347-7634</v>
      </c>
      <c r="P33" s="53" t="str">
        <f ca="1">IFERROR(__xludf.DUMMYFUNCTION("""COMPUTED_VALUE"""),"Letitia D Janifer")</f>
        <v>Letitia D Janifer</v>
      </c>
      <c r="Q33" s="53" t="str">
        <f ca="1">IFERROR(__xludf.DUMMYFUNCTION("""COMPUTED_VALUE"""),"ljanifer@teamconsult.com")</f>
        <v>ljanifer@teamconsult.com</v>
      </c>
      <c r="R33" s="53" t="str">
        <f ca="1">IFERROR(__xludf.DUMMYFUNCTION("""COMPUTED_VALUE"""),"703-347-7825")</f>
        <v>703-347-7825</v>
      </c>
    </row>
    <row r="34" spans="1:18" ht="30.75" customHeight="1" x14ac:dyDescent="0.25">
      <c r="A34" s="54" t="str">
        <f ca="1">IFERROR(__xludf.DUMMYFUNCTION("""COMPUTED_VALUE"""),"47QREB22D0001")</f>
        <v>47QREB22D0001</v>
      </c>
      <c r="B34" s="55" t="str">
        <f ca="1">IFERROR(__xludf.DUMMYFUNCTION("""COMPUTED_VALUE"""),"The Center for Organizational Excellence, Inc")</f>
        <v>The Center for Organizational Excellence, Inc</v>
      </c>
      <c r="C34" s="56" t="str">
        <f ca="1">IFERROR(__xludf.DUMMYFUNCTION("""COMPUTED_VALUE"""),"148041890")</f>
        <v>148041890</v>
      </c>
      <c r="D34" s="57" t="str">
        <f ca="1">IFERROR(__xludf.DUMMYFUNCTION("""COMPUTED_VALUE"""),"15204 Omega Drive Suite 300, Rockville, MD 20850-3218")</f>
        <v>15204 Omega Drive Suite 300, Rockville, MD 20850-3218</v>
      </c>
      <c r="E34" s="58" t="str">
        <f ca="1">IFERROR(__xludf.DUMMYFUNCTION("""COMPUTED_VALUE"""),"...")</f>
        <v>...</v>
      </c>
      <c r="F34" s="58" t="str">
        <f ca="1">IFERROR(__xludf.DUMMYFUNCTION("""COMPUTED_VALUE"""),"...")</f>
        <v>...</v>
      </c>
      <c r="G34" s="58" t="str">
        <f ca="1">IFERROR(__xludf.DUMMYFUNCTION("""COMPUTED_VALUE"""),"...")</f>
        <v>...</v>
      </c>
      <c r="H34" s="58" t="str">
        <f ca="1">IFERROR(__xludf.DUMMYFUNCTION("""COMPUTED_VALUE"""),"...")</f>
        <v>...</v>
      </c>
      <c r="I34" s="58" t="str">
        <f ca="1">IFERROR(__xludf.DUMMYFUNCTION("""COMPUTED_VALUE"""),"...")</f>
        <v>...</v>
      </c>
      <c r="J34" s="58" t="str">
        <f ca="1">IFERROR(__xludf.DUMMYFUNCTION("""COMPUTED_VALUE"""),"...")</f>
        <v>...</v>
      </c>
      <c r="K34" s="58" t="str">
        <f ca="1">IFERROR(__xludf.DUMMYFUNCTION("""COMPUTED_VALUE"""),"...")</f>
        <v>...</v>
      </c>
      <c r="L34" s="59" t="str">
        <f ca="1">IFERROR(__xludf.DUMMYFUNCTION("""COMPUTED_VALUE"""),"HCaTS@center4oe.com")</f>
        <v>HCaTS@center4oe.com</v>
      </c>
      <c r="M34" s="59" t="str">
        <f ca="1">IFERROR(__xludf.DUMMYFUNCTION("""COMPUTED_VALUE"""),"Sean McPhilomy")</f>
        <v>Sean McPhilomy</v>
      </c>
      <c r="N34" s="59" t="str">
        <f ca="1">IFERROR(__xludf.DUMMYFUNCTION("""COMPUTED_VALUE"""),"sean.mcphilomy@center4oe.com")</f>
        <v>sean.mcphilomy@center4oe.com</v>
      </c>
      <c r="O34" s="59" t="str">
        <f ca="1">IFERROR(__xludf.DUMMYFUNCTION("""COMPUTED_VALUE"""),"703-862-3687")</f>
        <v>703-862-3687</v>
      </c>
      <c r="P34" s="59" t="str">
        <f ca="1">IFERROR(__xludf.DUMMYFUNCTION("""COMPUTED_VALUE"""),"Karla Englund")</f>
        <v>Karla Englund</v>
      </c>
      <c r="Q34" s="59" t="str">
        <f ca="1">IFERROR(__xludf.DUMMYFUNCTION("""COMPUTED_VALUE"""),"karla.englund@center4oe.com")</f>
        <v>karla.englund@center4oe.com</v>
      </c>
      <c r="R34" s="59" t="str">
        <f ca="1">IFERROR(__xludf.DUMMYFUNCTION("""COMPUTED_VALUE""")," 240-618-3831")</f>
        <v xml:space="preserve"> 240-618-3831</v>
      </c>
    </row>
    <row r="35" spans="1:18" ht="30.75" customHeight="1" x14ac:dyDescent="0.25">
      <c r="A35" s="48" t="str">
        <f ca="1">IFERROR(__xludf.DUMMYFUNCTION("""COMPUTED_VALUE"""),"47QREB22D0003")</f>
        <v>47QREB22D0003</v>
      </c>
      <c r="B35" s="49" t="str">
        <f ca="1">IFERROR(__xludf.DUMMYFUNCTION("""COMPUTED_VALUE"""),"Wheelhouse Group, Inc")</f>
        <v>Wheelhouse Group, Inc</v>
      </c>
      <c r="C35" s="50" t="str">
        <f ca="1">IFERROR(__xludf.DUMMYFUNCTION("""COMPUTED_VALUE"""),"137298811")</f>
        <v>137298811</v>
      </c>
      <c r="D35" s="51" t="str">
        <f ca="1">IFERROR(__xludf.DUMMYFUNCTION("""COMPUTED_VALUE"""),"11350 Random Hills Rd Ste 800
Fairfax, VA, 22030-6044 ")</f>
        <v xml:space="preserve">11350 Random Hills Rd Ste 800
Fairfax, VA, 22030-6044 </v>
      </c>
      <c r="E35" s="53" t="str">
        <f ca="1">IFERROR(__xludf.DUMMYFUNCTION("""COMPUTED_VALUE"""),"...")</f>
        <v>...</v>
      </c>
      <c r="F35" s="53" t="str">
        <f ca="1">IFERROR(__xludf.DUMMYFUNCTION("""COMPUTED_VALUE"""),"...")</f>
        <v>...</v>
      </c>
      <c r="G35" s="53" t="str">
        <f ca="1">IFERROR(__xludf.DUMMYFUNCTION("""COMPUTED_VALUE"""),"...")</f>
        <v>...</v>
      </c>
      <c r="H35" s="53" t="str">
        <f ca="1">IFERROR(__xludf.DUMMYFUNCTION("""COMPUTED_VALUE"""),"...")</f>
        <v>...</v>
      </c>
      <c r="I35" s="53" t="str">
        <f ca="1">IFERROR(__xludf.DUMMYFUNCTION("""COMPUTED_VALUE"""),"...")</f>
        <v>...</v>
      </c>
      <c r="J35" s="53" t="str">
        <f ca="1">IFERROR(__xludf.DUMMYFUNCTION("""COMPUTED_VALUE"""),"Yes")</f>
        <v>Yes</v>
      </c>
      <c r="K35" s="53" t="str">
        <f ca="1">IFERROR(__xludf.DUMMYFUNCTION("""COMPUTED_VALUE"""),"...")</f>
        <v>...</v>
      </c>
      <c r="L35" s="53" t="str">
        <f ca="1">IFERROR(__xludf.DUMMYFUNCTION("""COMPUTED_VALUE"""),"gsa.wheelhousegroup.hcats@gmail.com")</f>
        <v>gsa.wheelhousegroup.hcats@gmail.com</v>
      </c>
      <c r="M35" s="53" t="str">
        <f ca="1">IFERROR(__xludf.DUMMYFUNCTION("""COMPUTED_VALUE"""),"Jen Mears")</f>
        <v>Jen Mears</v>
      </c>
      <c r="N35" s="53" t="str">
        <f ca="1">IFERROR(__xludf.DUMMYFUNCTION("""COMPUTED_VALUE"""),"jen.mears@wheelhousegroup.com")</f>
        <v>jen.mears@wheelhousegroup.com</v>
      </c>
      <c r="O35" s="53" t="str">
        <f ca="1">IFERROR(__xludf.DUMMYFUNCTION("""COMPUTED_VALUE"""),"615-499-0134")</f>
        <v>615-499-0134</v>
      </c>
      <c r="P35" s="53" t="str">
        <f ca="1">IFERROR(__xludf.DUMMYFUNCTION("""COMPUTED_VALUE"""),"Chelsea Stevens")</f>
        <v>Chelsea Stevens</v>
      </c>
      <c r="Q35" s="53" t="str">
        <f ca="1">IFERROR(__xludf.DUMMYFUNCTION("""COMPUTED_VALUE"""),"chelsea.stevens@wheelhousegroup.com")</f>
        <v>chelsea.stevens@wheelhousegroup.com</v>
      </c>
      <c r="R35" s="53" t="str">
        <f ca="1">IFERROR(__xludf.DUMMYFUNCTION("""COMPUTED_VALUE"""),"202-577-4428 ")</f>
        <v xml:space="preserve">202-577-4428 </v>
      </c>
    </row>
    <row r="36" spans="1:18" ht="30.75" customHeight="1" x14ac:dyDescent="0.25">
      <c r="A36" s="54"/>
      <c r="B36" s="55"/>
      <c r="C36" s="56"/>
      <c r="D36" s="57"/>
      <c r="E36" s="59"/>
      <c r="F36" s="59"/>
      <c r="G36" s="59"/>
      <c r="H36" s="59"/>
      <c r="I36" s="59"/>
      <c r="J36" s="59"/>
      <c r="K36" s="59"/>
      <c r="L36" s="59"/>
      <c r="M36" s="59"/>
      <c r="N36" s="59"/>
      <c r="O36" s="59"/>
      <c r="P36" s="59"/>
      <c r="Q36" s="59"/>
      <c r="R36" s="59"/>
    </row>
    <row r="37" spans="1:18" ht="30.75" customHeight="1" x14ac:dyDescent="0.25">
      <c r="A37" s="48"/>
      <c r="B37" s="49"/>
      <c r="C37" s="50"/>
      <c r="D37" s="51"/>
      <c r="E37" s="53"/>
      <c r="F37" s="53"/>
      <c r="G37" s="53"/>
      <c r="H37" s="53"/>
      <c r="I37" s="53"/>
      <c r="J37" s="53"/>
      <c r="K37" s="53"/>
      <c r="L37" s="53"/>
      <c r="M37" s="53"/>
      <c r="N37" s="53"/>
      <c r="O37" s="53"/>
      <c r="P37" s="53"/>
      <c r="Q37" s="53"/>
      <c r="R37" s="53"/>
    </row>
    <row r="38" spans="1:18" ht="30.75" customHeight="1" x14ac:dyDescent="0.25">
      <c r="A38" s="54"/>
      <c r="B38" s="55"/>
      <c r="C38" s="56"/>
      <c r="D38" s="57"/>
      <c r="E38" s="59"/>
      <c r="F38" s="59"/>
      <c r="G38" s="59"/>
      <c r="H38" s="59"/>
      <c r="I38" s="59"/>
      <c r="J38" s="59"/>
      <c r="K38" s="59"/>
      <c r="L38" s="59"/>
      <c r="M38" s="59"/>
      <c r="N38" s="59"/>
      <c r="O38" s="59"/>
      <c r="P38" s="59"/>
      <c r="Q38" s="59"/>
      <c r="R38" s="59"/>
    </row>
    <row r="39" spans="1:18" ht="30.75" customHeight="1" x14ac:dyDescent="0.25">
      <c r="A39" s="48"/>
      <c r="B39" s="49"/>
      <c r="C39" s="50"/>
      <c r="D39" s="51"/>
      <c r="E39" s="53"/>
      <c r="F39" s="53"/>
      <c r="G39" s="53"/>
      <c r="H39" s="53"/>
      <c r="I39" s="53"/>
      <c r="J39" s="53"/>
      <c r="K39" s="53"/>
      <c r="L39" s="53"/>
      <c r="M39" s="53"/>
      <c r="N39" s="53"/>
      <c r="O39" s="53"/>
      <c r="P39" s="53"/>
      <c r="Q39" s="53"/>
      <c r="R39" s="53"/>
    </row>
    <row r="40" spans="1:18" ht="30.75" customHeight="1" x14ac:dyDescent="0.25">
      <c r="A40" s="54"/>
      <c r="B40" s="55"/>
      <c r="C40" s="56"/>
      <c r="D40" s="57"/>
      <c r="E40" s="59"/>
      <c r="F40" s="59"/>
      <c r="G40" s="59"/>
      <c r="H40" s="59"/>
      <c r="I40" s="59"/>
      <c r="J40" s="59"/>
      <c r="K40" s="59"/>
      <c r="L40" s="59"/>
      <c r="M40" s="59"/>
      <c r="N40" s="59"/>
      <c r="O40" s="59"/>
      <c r="P40" s="59"/>
      <c r="Q40" s="59"/>
      <c r="R40" s="59"/>
    </row>
  </sheetData>
  <mergeCells count="12">
    <mergeCell ref="L2:L3"/>
    <mergeCell ref="M2:M3"/>
    <mergeCell ref="A2:A3"/>
    <mergeCell ref="B2:B3"/>
    <mergeCell ref="C2:C3"/>
    <mergeCell ref="D2:D3"/>
    <mergeCell ref="E2:K2"/>
    <mergeCell ref="N2:N3"/>
    <mergeCell ref="O2:O3"/>
    <mergeCell ref="P2:P3"/>
    <mergeCell ref="Q2:Q3"/>
    <mergeCell ref="R2:R3"/>
  </mergeCells>
  <pageMargins left="0.2" right="0.2" top="0.2" bottom="0.2" header="0" footer="0"/>
  <pageSetup orientation="landscape"/>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8761D"/>
  </sheetPr>
  <dimension ref="A1:K39"/>
  <sheetViews>
    <sheetView workbookViewId="0">
      <pane xSplit="2" ySplit="2" topLeftCell="C9" activePane="bottomRight" state="frozen"/>
      <selection pane="topRight" activeCell="C1" sqref="C1"/>
      <selection pane="bottomLeft" activeCell="A3" sqref="A3"/>
      <selection pane="bottomRight" activeCell="D12" sqref="D12"/>
    </sheetView>
  </sheetViews>
  <sheetFormatPr defaultColWidth="11.25" defaultRowHeight="15" customHeight="1" x14ac:dyDescent="0.25"/>
  <cols>
    <col min="1" max="1" width="15.75" customWidth="1"/>
    <col min="2" max="2" width="30.75" customWidth="1"/>
    <col min="3" max="3" width="9.875" customWidth="1"/>
    <col min="4" max="4" width="27.875" customWidth="1"/>
    <col min="5" max="5" width="32.375" customWidth="1"/>
    <col min="6" max="6" width="14.25" customWidth="1"/>
    <col min="7" max="7" width="27.75" customWidth="1"/>
    <col min="8" max="8" width="14.125" customWidth="1"/>
    <col min="9" max="9" width="15.25" customWidth="1"/>
    <col min="10" max="10" width="32" customWidth="1"/>
    <col min="11" max="11" width="16.75" customWidth="1"/>
  </cols>
  <sheetData>
    <row r="1" spans="1:11" ht="52.5" customHeight="1" x14ac:dyDescent="0.25">
      <c r="A1" s="61" t="s">
        <v>41</v>
      </c>
      <c r="B1" s="62"/>
      <c r="C1" s="63"/>
      <c r="D1" s="62"/>
      <c r="E1" s="64"/>
      <c r="F1" s="65"/>
      <c r="G1" s="65"/>
      <c r="H1" s="66"/>
      <c r="I1" s="65"/>
      <c r="J1" s="65"/>
      <c r="K1" s="67"/>
    </row>
    <row r="2" spans="1:11" ht="37.5" customHeight="1" x14ac:dyDescent="0.25">
      <c r="A2" s="68" t="s">
        <v>42</v>
      </c>
      <c r="B2" s="69" t="s">
        <v>17</v>
      </c>
      <c r="C2" s="70" t="s">
        <v>18</v>
      </c>
      <c r="D2" s="69" t="s">
        <v>19</v>
      </c>
      <c r="E2" s="69" t="s">
        <v>20</v>
      </c>
      <c r="F2" s="69" t="s">
        <v>21</v>
      </c>
      <c r="G2" s="70" t="s">
        <v>22</v>
      </c>
      <c r="H2" s="70" t="s">
        <v>23</v>
      </c>
      <c r="I2" s="70" t="s">
        <v>24</v>
      </c>
      <c r="J2" s="70" t="s">
        <v>25</v>
      </c>
      <c r="K2" s="71" t="s">
        <v>26</v>
      </c>
    </row>
    <row r="3" spans="1:11" ht="30.75" customHeight="1" x14ac:dyDescent="0.25">
      <c r="A3" s="22" t="str">
        <f ca="1">IFERROR(__xludf.DUMMYFUNCTION("Query(importrange(""https://docs.google.com/spreadsheets/d/1t10Foe1vTEZyMDsOA_q-Q29vy-Kz9U_eP3ItSEmmPak/edit#gid=525286931"",""HCaTS Master Contracts info!A2:X137""),""SELECT Col6, Col13, Col15, Col17, Col14,Col18, Col19, Col20, Col21, Col22, Col23 where "&amp;"Col6 is not null order by Col13"",0)"),"47QREB21D0001")</f>
        <v>47QREB21D0001</v>
      </c>
      <c r="B3" s="23" t="str">
        <f ca="1">IFERROR(__xludf.DUMMYFUNCTION("""COMPUTED_VALUE"""),"A P Ventures, LLC")</f>
        <v>A P Ventures, LLC</v>
      </c>
      <c r="C3" s="24" t="str">
        <f ca="1">IFERROR(__xludf.DUMMYFUNCTION("""COMPUTED_VALUE"""),"005752289")</f>
        <v>005752289</v>
      </c>
      <c r="D3" s="25" t="str">
        <f ca="1">IFERROR(__xludf.DUMMYFUNCTION("""COMPUTED_VALUE"""),"9520 Berger Road, Suite 107, Columbia, MD 21046, U.S.A.")</f>
        <v>9520 Berger Road, Suite 107, Columbia, MD 21046, U.S.A.</v>
      </c>
      <c r="E3" s="26" t="str">
        <f ca="1">IFERROR(__xludf.DUMMYFUNCTION("""COMPUTED_VALUE"""),"HCaTS-SB@apvit.com")</f>
        <v>HCaTS-SB@apvit.com</v>
      </c>
      <c r="F3" s="26" t="str">
        <f ca="1">IFERROR(__xludf.DUMMYFUNCTION("""COMPUTED_VALUE"""),"Nandita Gududuri")</f>
        <v>Nandita Gududuri</v>
      </c>
      <c r="G3" s="26" t="str">
        <f ca="1">IFERROR(__xludf.DUMMYFUNCTION("""COMPUTED_VALUE"""),"ngududuri@apvit.com")</f>
        <v>ngududuri@apvit.com</v>
      </c>
      <c r="H3" s="26" t="str">
        <f ca="1">IFERROR(__xludf.DUMMYFUNCTION("""COMPUTED_VALUE"""),"(301) 535-2495")</f>
        <v>(301) 535-2495</v>
      </c>
      <c r="I3" s="26" t="str">
        <f ca="1">IFERROR(__xludf.DUMMYFUNCTION("""COMPUTED_VALUE"""),"Jessica Farinholt")</f>
        <v>Jessica Farinholt</v>
      </c>
      <c r="J3" s="26" t="str">
        <f ca="1">IFERROR(__xludf.DUMMYFUNCTION("""COMPUTED_VALUE"""),"contracts@apvit.com")</f>
        <v>contracts@apvit.com</v>
      </c>
      <c r="K3" s="26" t="str">
        <f ca="1">IFERROR(__xludf.DUMMYFUNCTION("""COMPUTED_VALUE"""),"(443) 542-9188")</f>
        <v>(443) 542-9188</v>
      </c>
    </row>
    <row r="4" spans="1:11" ht="30.75" customHeight="1" x14ac:dyDescent="0.25">
      <c r="A4" s="22" t="str">
        <f ca="1">IFERROR(__xludf.DUMMYFUNCTION("""COMPUTED_VALUE"""),"47QREB21D0002")</f>
        <v>47QREB21D0002</v>
      </c>
      <c r="B4" s="23" t="str">
        <f ca="1">IFERROR(__xludf.DUMMYFUNCTION("""COMPUTED_VALUE"""),"Advanced Computer Learning Company, LLC")</f>
        <v>Advanced Computer Learning Company, LLC</v>
      </c>
      <c r="C4" s="24" t="str">
        <f ca="1">IFERROR(__xludf.DUMMYFUNCTION("""COMPUTED_VALUE"""),"141415021")</f>
        <v>141415021</v>
      </c>
      <c r="D4" s="25" t="str">
        <f ca="1">IFERROR(__xludf.DUMMYFUNCTION("""COMPUTED_VALUE"""),"208 C Hay Street, Suite C, Fayetteville NC 28301")</f>
        <v>208 C Hay Street, Suite C, Fayetteville NC 28301</v>
      </c>
      <c r="E4" s="26" t="str">
        <f ca="1">IFERROR(__xludf.DUMMYFUNCTION("""COMPUTED_VALUE"""),"HCATS-SB@goaclc.com, HCaTS_8A@goaclc.com")</f>
        <v>HCATS-SB@goaclc.com, HCaTS_8A@goaclc.com</v>
      </c>
      <c r="F4" s="26" t="str">
        <f ca="1">IFERROR(__xludf.DUMMYFUNCTION("""COMPUTED_VALUE"""),"Jack Zeigler")</f>
        <v>Jack Zeigler</v>
      </c>
      <c r="G4" s="26" t="str">
        <f ca="1">IFERROR(__xludf.DUMMYFUNCTION("""COMPUTED_VALUE"""),"jack.zeigler@goaclc.com")</f>
        <v>jack.zeigler@goaclc.com</v>
      </c>
      <c r="H4" s="26" t="str">
        <f ca="1">IFERROR(__xludf.DUMMYFUNCTION("""COMPUTED_VALUE"""),"910-670-1541 ")</f>
        <v xml:space="preserve">910-670-1541 </v>
      </c>
      <c r="I4" s="26" t="str">
        <f ca="1">IFERROR(__xludf.DUMMYFUNCTION("""COMPUTED_VALUE"""),"Kathryn Cox")</f>
        <v>Kathryn Cox</v>
      </c>
      <c r="J4" s="26" t="str">
        <f ca="1">IFERROR(__xludf.DUMMYFUNCTION("""COMPUTED_VALUE"""),"KCox@goaclc.com")</f>
        <v>KCox@goaclc.com</v>
      </c>
      <c r="K4" s="26" t="str">
        <f ca="1">IFERROR(__xludf.DUMMYFUNCTION("""COMPUTED_VALUE"""),"9109168815")</f>
        <v>9109168815</v>
      </c>
    </row>
    <row r="5" spans="1:11" ht="30.75" customHeight="1" x14ac:dyDescent="0.25">
      <c r="A5" s="22" t="str">
        <f ca="1">IFERROR(__xludf.DUMMYFUNCTION("""COMPUTED_VALUE"""),"47QREB21D0003")</f>
        <v>47QREB21D0003</v>
      </c>
      <c r="B5" s="23" t="str">
        <f ca="1">IFERROR(__xludf.DUMMYFUNCTION("""COMPUTED_VALUE"""),"AvantGarde, LLC")</f>
        <v>AvantGarde, LLC</v>
      </c>
      <c r="C5" s="24" t="str">
        <f ca="1">IFERROR(__xludf.DUMMYFUNCTION("""COMPUTED_VALUE"""),"968013792")</f>
        <v>968013792</v>
      </c>
      <c r="D5" s="25" t="str">
        <f ca="1">IFERROR(__xludf.DUMMYFUNCTION("""COMPUTED_VALUE"""),"15630 Vision Drive, Suite A
Pflugerville, TX, 78660-3181")</f>
        <v>15630 Vision Drive, Suite A
Pflugerville, TX, 78660-3181</v>
      </c>
      <c r="E5" s="26" t="str">
        <f ca="1">IFERROR(__xludf.DUMMYFUNCTION("""COMPUTED_VALUE"""),"HCaTSaskAG@avantgarde4usa.com")</f>
        <v>HCaTSaskAG@avantgarde4usa.com</v>
      </c>
      <c r="F5" s="26" t="str">
        <f ca="1">IFERROR(__xludf.DUMMYFUNCTION("""COMPUTED_VALUE"""),"Rachel Holly")</f>
        <v>Rachel Holly</v>
      </c>
      <c r="G5" s="26" t="str">
        <f ca="1">IFERROR(__xludf.DUMMYFUNCTION("""COMPUTED_VALUE"""),"rholly@avantgarde4usa.com")</f>
        <v>rholly@avantgarde4usa.com</v>
      </c>
      <c r="H5" s="26" t="str">
        <f ca="1">IFERROR(__xludf.DUMMYFUNCTION("""COMPUTED_VALUE"""),"703-597-2084")</f>
        <v>703-597-2084</v>
      </c>
      <c r="I5" s="26" t="str">
        <f ca="1">IFERROR(__xludf.DUMMYFUNCTION("""COMPUTED_VALUE"""),"Greg Portnoy")</f>
        <v>Greg Portnoy</v>
      </c>
      <c r="J5" s="26" t="str">
        <f ca="1">IFERROR(__xludf.DUMMYFUNCTION("""COMPUTED_VALUE"""),"gportnoy@avantgarde4usa.com")</f>
        <v>gportnoy@avantgarde4usa.com</v>
      </c>
      <c r="K5" s="26" t="str">
        <f ca="1">IFERROR(__xludf.DUMMYFUNCTION("""COMPUTED_VALUE"""),"(301) 417-4580")</f>
        <v>(301) 417-4580</v>
      </c>
    </row>
    <row r="6" spans="1:11" ht="30.75" customHeight="1" x14ac:dyDescent="0.25">
      <c r="A6" s="22" t="str">
        <f ca="1">IFERROR(__xludf.DUMMYFUNCTION("""COMPUTED_VALUE"""),"47QREB21D0004")</f>
        <v>47QREB21D0004</v>
      </c>
      <c r="B6" s="23" t="str">
        <f ca="1">IFERROR(__xludf.DUMMYFUNCTION("""COMPUTED_VALUE"""),"Bloomsburie LLC")</f>
        <v>Bloomsburie LLC</v>
      </c>
      <c r="C6" s="24" t="str">
        <f ca="1">IFERROR(__xludf.DUMMYFUNCTION("""COMPUTED_VALUE"""),"079341294")</f>
        <v>079341294</v>
      </c>
      <c r="D6" s="25" t="str">
        <f ca="1">IFERROR(__xludf.DUMMYFUNCTION("""COMPUTED_VALUE"""),"3542 N UTAH ST
ARLINGTON, VA, 22207-4444")</f>
        <v>3542 N UTAH ST
ARLINGTON, VA, 22207-4444</v>
      </c>
      <c r="E6" s="26" t="str">
        <f ca="1">IFERROR(__xludf.DUMMYFUNCTION("""COMPUTED_VALUE"""),"HCATS@Bloomsburie.com")</f>
        <v>HCATS@Bloomsburie.com</v>
      </c>
      <c r="F6" s="26" t="str">
        <f ca="1">IFERROR(__xludf.DUMMYFUNCTION("""COMPUTED_VALUE"""),"Lauren Iu")</f>
        <v>Lauren Iu</v>
      </c>
      <c r="G6" s="26" t="str">
        <f ca="1">IFERROR(__xludf.DUMMYFUNCTION("""COMPUTED_VALUE"""),"Lauren@Bloomsburie.com")</f>
        <v>Lauren@Bloomsburie.com</v>
      </c>
      <c r="H6" s="26" t="str">
        <f ca="1">IFERROR(__xludf.DUMMYFUNCTION("""COMPUTED_VALUE"""),"703 731-5913")</f>
        <v>703 731-5913</v>
      </c>
      <c r="I6" s="26" t="str">
        <f ca="1">IFERROR(__xludf.DUMMYFUNCTION("""COMPUTED_VALUE"""),"Kinha Kelly Lester")</f>
        <v>Kinha Kelly Lester</v>
      </c>
      <c r="J6" s="26" t="str">
        <f ca="1">IFERROR(__xludf.DUMMYFUNCTION("""COMPUTED_VALUE"""),"KLester@Bloomsburie.com")</f>
        <v>KLester@Bloomsburie.com</v>
      </c>
      <c r="K6" s="26" t="str">
        <f ca="1">IFERROR(__xludf.DUMMYFUNCTION("""COMPUTED_VALUE"""),"703-896-0289")</f>
        <v>703-896-0289</v>
      </c>
    </row>
    <row r="7" spans="1:11" ht="30.75" customHeight="1" x14ac:dyDescent="0.25">
      <c r="A7" s="22" t="str">
        <f ca="1">IFERROR(__xludf.DUMMYFUNCTION("""COMPUTED_VALUE"""),"47QREB21D0005")</f>
        <v>47QREB21D0005</v>
      </c>
      <c r="B7" s="23" t="str">
        <f ca="1">IFERROR(__xludf.DUMMYFUNCTION("""COMPUTED_VALUE"""),"Constant Eagle Hill, LLC")</f>
        <v>Constant Eagle Hill, LLC</v>
      </c>
      <c r="C7" s="24" t="str">
        <f ca="1">IFERROR(__xludf.DUMMYFUNCTION("""COMPUTED_VALUE"""),"117090810")</f>
        <v>117090810</v>
      </c>
      <c r="D7" s="25" t="str">
        <f ca="1">IFERROR(__xludf.DUMMYFUNCTION("""COMPUTED_VALUE"""),"241 18TH ST S STE 615
ARLINGTON, VA, 22202-3418")</f>
        <v>241 18TH ST S STE 615
ARLINGTON, VA, 22202-3418</v>
      </c>
      <c r="E7" s="26" t="str">
        <f ca="1">IFERROR(__xludf.DUMMYFUNCTION("""COMPUTED_VALUE"""),"info@constanteaglehill.com")</f>
        <v>info@constanteaglehill.com</v>
      </c>
      <c r="F7" s="26" t="str">
        <f ca="1">IFERROR(__xludf.DUMMYFUNCTION("""COMPUTED_VALUE"""),"Jeff Philippart")</f>
        <v>Jeff Philippart</v>
      </c>
      <c r="G7" s="26" t="str">
        <f ca="1">IFERROR(__xludf.DUMMYFUNCTION("""COMPUTED_VALUE"""),"jeff@constantassociates.com")</f>
        <v>jeff@constantassociates.com</v>
      </c>
      <c r="H7" s="26" t="str">
        <f ca="1">IFERROR(__xludf.DUMMYFUNCTION("""COMPUTED_VALUE"""),"(571) 560-1648")</f>
        <v>(571) 560-1648</v>
      </c>
      <c r="I7" s="26" t="str">
        <f ca="1">IFERROR(__xludf.DUMMYFUNCTION("""COMPUTED_VALUE"""),"Andy Schuler")</f>
        <v>Andy Schuler</v>
      </c>
      <c r="J7" s="26" t="str">
        <f ca="1">IFERROR(__xludf.DUMMYFUNCTION("""COMPUTED_VALUE"""),"ashuler@eaglehillconsulting.com")</f>
        <v>ashuler@eaglehillconsulting.com</v>
      </c>
      <c r="K7" s="26" t="str">
        <f ca="1">IFERROR(__xludf.DUMMYFUNCTION("""COMPUTED_VALUE"""),"703-927-8248")</f>
        <v>703-927-8248</v>
      </c>
    </row>
    <row r="8" spans="1:11" ht="45" x14ac:dyDescent="0.25">
      <c r="A8" s="22" t="str">
        <f ca="1">IFERROR(__xludf.DUMMYFUNCTION("""COMPUTED_VALUE"""),"47QREB21D0007")</f>
        <v>47QREB21D0007</v>
      </c>
      <c r="B8" s="23" t="str">
        <f ca="1">IFERROR(__xludf.DUMMYFUNCTION("""COMPUTED_VALUE"""),"JSTooGood, LLC dba Joint Strategic Technologies")</f>
        <v>JSTooGood, LLC dba Joint Strategic Technologies</v>
      </c>
      <c r="C8" s="24" t="str">
        <f ca="1">IFERROR(__xludf.DUMMYFUNCTION("""COMPUTED_VALUE"""),"079197079")</f>
        <v>079197079</v>
      </c>
      <c r="D8" s="25" t="str">
        <f ca="1">IFERROR(__xludf.DUMMYFUNCTION("""COMPUTED_VALUE"""),"596 N. Kimball Ave
STE 100
Southlake, TX 76092-6957")</f>
        <v>596 N. Kimball Ave
STE 100
Southlake, TX 76092-6957</v>
      </c>
      <c r="E8" s="26" t="str">
        <f ca="1">IFERROR(__xludf.DUMMYFUNCTION("""COMPUTED_VALUE"""),"HCaTS@jstcorp.com")</f>
        <v>HCaTS@jstcorp.com</v>
      </c>
      <c r="F8" s="26" t="str">
        <f ca="1">IFERROR(__xludf.DUMMYFUNCTION("""COMPUTED_VALUE"""),"Gene Carlson")</f>
        <v>Gene Carlson</v>
      </c>
      <c r="G8" s="26" t="str">
        <f ca="1">IFERROR(__xludf.DUMMYFUNCTION("""COMPUTED_VALUE"""),"Gene@jstcorp.com")</f>
        <v>Gene@jstcorp.com</v>
      </c>
      <c r="H8" s="26" t="str">
        <f ca="1">IFERROR(__xludf.DUMMYFUNCTION("""COMPUTED_VALUE"""),"706-612-0244")</f>
        <v>706-612-0244</v>
      </c>
      <c r="I8" s="26" t="str">
        <f ca="1">IFERROR(__xludf.DUMMYFUNCTION("""COMPUTED_VALUE"""),"Mario Carrete")</f>
        <v>Mario Carrete</v>
      </c>
      <c r="J8" s="26" t="str">
        <f ca="1">IFERROR(__xludf.DUMMYFUNCTION("""COMPUTED_VALUE"""),"mario@jstcorp.com")</f>
        <v>mario@jstcorp.com</v>
      </c>
      <c r="K8" s="26" t="str">
        <f ca="1">IFERROR(__xludf.DUMMYFUNCTION("""COMPUTED_VALUE"""),"202-644-8528 X- 702")</f>
        <v>202-644-8528 X- 702</v>
      </c>
    </row>
    <row r="9" spans="1:11" ht="30.75" customHeight="1" x14ac:dyDescent="0.25">
      <c r="A9" s="22" t="str">
        <f ca="1">IFERROR(__xludf.DUMMYFUNCTION("""COMPUTED_VALUE"""),"47QREB21D0008")</f>
        <v>47QREB21D0008</v>
      </c>
      <c r="B9" s="23" t="str">
        <f ca="1">IFERROR(__xludf.DUMMYFUNCTION("""COMPUTED_VALUE"""),"Ortiz Group, LLC, The")</f>
        <v>Ortiz Group, LLC, The</v>
      </c>
      <c r="C9" s="24" t="str">
        <f ca="1">IFERROR(__xludf.DUMMYFUNCTION("""COMPUTED_VALUE"""),"079727416")</f>
        <v>079727416</v>
      </c>
      <c r="D9" s="25" t="str">
        <f ca="1">IFERROR(__xludf.DUMMYFUNCTION("""COMPUTED_VALUE"""),"984 Autumn Oak Cir 
Concord, CA, 94521-5440")</f>
        <v>984 Autumn Oak Cir 
Concord, CA, 94521-5440</v>
      </c>
      <c r="E9" s="26" t="str">
        <f ca="1">IFERROR(__xludf.DUMMYFUNCTION("""COMPUTED_VALUE"""),"HCaTS@ortiz-group.com")</f>
        <v>HCaTS@ortiz-group.com</v>
      </c>
      <c r="F9" s="26" t="str">
        <f ca="1">IFERROR(__xludf.DUMMYFUNCTION("""COMPUTED_VALUE"""),"David Ortiz")</f>
        <v>David Ortiz</v>
      </c>
      <c r="G9" s="26" t="str">
        <f ca="1">IFERROR(__xludf.DUMMYFUNCTION("""COMPUTED_VALUE"""),"Dortiz@ortiz-group.com")</f>
        <v>Dortiz@ortiz-group.com</v>
      </c>
      <c r="H9" s="26" t="str">
        <f ca="1">IFERROR(__xludf.DUMMYFUNCTION("""COMPUTED_VALUE"""),"703-338-6893")</f>
        <v>703-338-6893</v>
      </c>
      <c r="I9" s="26" t="str">
        <f ca="1">IFERROR(__xludf.DUMMYFUNCTION("""COMPUTED_VALUE"""),"Belinda Haener")</f>
        <v>Belinda Haener</v>
      </c>
      <c r="J9" s="26" t="str">
        <f ca="1">IFERROR(__xludf.DUMMYFUNCTION("""COMPUTED_VALUE"""),"bhaener@ortiz-group.com")</f>
        <v>bhaener@ortiz-group.com</v>
      </c>
      <c r="K9" s="26" t="str">
        <f ca="1">IFERROR(__xludf.DUMMYFUNCTION("""COMPUTED_VALUE""")," 925-414-0760")</f>
        <v xml:space="preserve"> 925-414-0760</v>
      </c>
    </row>
    <row r="10" spans="1:11" ht="30.75" customHeight="1" x14ac:dyDescent="0.25">
      <c r="A10" s="22" t="str">
        <f ca="1">IFERROR(__xludf.DUMMYFUNCTION("""COMPUTED_VALUE"""),"47QREB21D0009")</f>
        <v>47QREB21D0009</v>
      </c>
      <c r="B10" s="23" t="str">
        <f ca="1">IFERROR(__xludf.DUMMYFUNCTION("""COMPUTED_VALUE"""),"Performance Principles, LLC, The")</f>
        <v>Performance Principles, LLC, The</v>
      </c>
      <c r="C10" s="24" t="str">
        <f ca="1">IFERROR(__xludf.DUMMYFUNCTION("""COMPUTED_VALUE"""),"079212055")</f>
        <v>079212055</v>
      </c>
      <c r="D10" s="25" t="str">
        <f ca="1">IFERROR(__xludf.DUMMYFUNCTION("""COMPUTED_VALUE"""),"1732 Pryor Rd SW STE 808
Atlanta, GA, 30315-4854")</f>
        <v>1732 Pryor Rd SW STE 808
Atlanta, GA, 30315-4854</v>
      </c>
      <c r="E10" s="26" t="str">
        <f ca="1">IFERROR(__xludf.DUMMYFUNCTION("""COMPUTED_VALUE"""),"cjefferson@tppsolutions.com")</f>
        <v>cjefferson@tppsolutions.com</v>
      </c>
      <c r="F10" s="26" t="str">
        <f ca="1">IFERROR(__xludf.DUMMYFUNCTION("""COMPUTED_VALUE"""),"Dr. Carl Jefferson")</f>
        <v>Dr. Carl Jefferson</v>
      </c>
      <c r="G10" s="26" t="str">
        <f ca="1">IFERROR(__xludf.DUMMYFUNCTION("""COMPUTED_VALUE"""),"cjefferson@tppsolutions.com")</f>
        <v>cjefferson@tppsolutions.com</v>
      </c>
      <c r="H10" s="26" t="str">
        <f ca="1">IFERROR(__xludf.DUMMYFUNCTION("""COMPUTED_VALUE"""),"770-880-3020")</f>
        <v>770-880-3020</v>
      </c>
      <c r="I10" s="26" t="str">
        <f ca="1">IFERROR(__xludf.DUMMYFUNCTION("""COMPUTED_VALUE"""),"Stephone Watson")</f>
        <v>Stephone Watson</v>
      </c>
      <c r="J10" s="26" t="str">
        <f ca="1">IFERROR(__xludf.DUMMYFUNCTION("""COMPUTED_VALUE"""),"swatson@tppsolutions.com")</f>
        <v>swatson@tppsolutions.com</v>
      </c>
      <c r="K10" s="26" t="str">
        <f ca="1">IFERROR(__xludf.DUMMYFUNCTION("""COMPUTED_VALUE"""),"770-655-4115")</f>
        <v>770-655-4115</v>
      </c>
    </row>
    <row r="11" spans="1:11" ht="30.75" customHeight="1" x14ac:dyDescent="0.25">
      <c r="A11" s="22" t="str">
        <f ca="1">IFERROR(__xludf.DUMMYFUNCTION("""COMPUTED_VALUE"""),"47QREB21D0010")</f>
        <v>47QREB21D0010</v>
      </c>
      <c r="B11" s="23" t="str">
        <f ca="1">IFERROR(__xludf.DUMMYFUNCTION("""COMPUTED_VALUE"""),"Precise Federal Consulting, LLC")</f>
        <v>Precise Federal Consulting, LLC</v>
      </c>
      <c r="C11" s="24" t="str">
        <f ca="1">IFERROR(__xludf.DUMMYFUNCTION("""COMPUTED_VALUE"""),"117065943")</f>
        <v>117065943</v>
      </c>
      <c r="D11" s="25" t="str">
        <f ca="1">IFERROR(__xludf.DUMMYFUNCTION("""COMPUTED_VALUE"""),"7701 Greenbelt Rd Ste 501 
Greenbelt, MD, 20770-6523")</f>
        <v>7701 Greenbelt Rd Ste 501 
Greenbelt, MD, 20770-6523</v>
      </c>
      <c r="E11" s="26" t="str">
        <f ca="1">IFERROR(__xludf.DUMMYFUNCTION("""COMPUTED_VALUE"""),"HCaTS@precisefederal.com")</f>
        <v>HCaTS@precisefederal.com</v>
      </c>
      <c r="F11" s="26" t="str">
        <f ca="1">IFERROR(__xludf.DUMMYFUNCTION("""COMPUTED_VALUE"""),"Jyothi R Bhargava")</f>
        <v>Jyothi R Bhargava</v>
      </c>
      <c r="G11" s="26" t="str">
        <f ca="1">IFERROR(__xludf.DUMMYFUNCTION("""COMPUTED_VALUE"""),"jbhargava@precisefederal.com")</f>
        <v>jbhargava@precisefederal.com</v>
      </c>
      <c r="H11" s="26" t="str">
        <f ca="1">IFERROR(__xludf.DUMMYFUNCTION("""COMPUTED_VALUE"""),"301-580-4924")</f>
        <v>301-580-4924</v>
      </c>
      <c r="I11" s="26" t="str">
        <f ca="1">IFERROR(__xludf.DUMMYFUNCTION("""COMPUTED_VALUE"""),"Sandesh Sharda")</f>
        <v>Sandesh Sharda</v>
      </c>
      <c r="J11" s="26" t="str">
        <f ca="1">IFERROR(__xludf.DUMMYFUNCTION("""COMPUTED_VALUE"""),"ssharda@precisefederal.com")</f>
        <v>ssharda@precisefederal.com</v>
      </c>
      <c r="K11" s="26" t="str">
        <f ca="1">IFERROR(__xludf.DUMMYFUNCTION("""COMPUTED_VALUE"""),"5713311355")</f>
        <v>5713311355</v>
      </c>
    </row>
    <row r="12" spans="1:11" ht="30.75" customHeight="1" x14ac:dyDescent="0.25">
      <c r="A12" s="22" t="str">
        <f ca="1">IFERROR(__xludf.DUMMYFUNCTION("""COMPUTED_VALUE"""),"47QREB21D0011")</f>
        <v>47QREB21D0011</v>
      </c>
      <c r="B12" s="23" t="str">
        <f ca="1">IFERROR(__xludf.DUMMYFUNCTION("""COMPUTED_VALUE"""),"PTG International, Inc")</f>
        <v>PTG International, Inc</v>
      </c>
      <c r="C12" s="24" t="str">
        <f ca="1">IFERROR(__xludf.DUMMYFUNCTION("""COMPUTED_VALUE"""),"838192433")</f>
        <v>838192433</v>
      </c>
      <c r="D12" s="25" t="str">
        <f ca="1">IFERROR(__xludf.DUMMYFUNCTION("""COMPUTED_VALUE"""),"13227 Executive Park Ter 
Germantown, MD, 20874-2648")</f>
        <v>13227 Executive Park Ter 
Germantown, MD, 20874-2648</v>
      </c>
      <c r="E12" s="26" t="str">
        <f ca="1">IFERROR(__xludf.DUMMYFUNCTION("""COMPUTED_VALUE"""),"hcats@ptg-intl.com")</f>
        <v>hcats@ptg-intl.com</v>
      </c>
      <c r="F12" s="26" t="str">
        <f ca="1">IFERROR(__xludf.DUMMYFUNCTION("""COMPUTED_VALUE"""),"David Hauge")</f>
        <v>David Hauge</v>
      </c>
      <c r="G12" s="26" t="str">
        <f ca="1">IFERROR(__xludf.DUMMYFUNCTION("""COMPUTED_VALUE"""),"dhauge@ptg-intl.com")</f>
        <v>dhauge@ptg-intl.com</v>
      </c>
      <c r="H12" s="26" t="str">
        <f ca="1">IFERROR(__xludf.DUMMYFUNCTION("""COMPUTED_VALUE"""),"301-775-2441")</f>
        <v>301-775-2441</v>
      </c>
      <c r="I12" s="26" t="str">
        <f ca="1">IFERROR(__xludf.DUMMYFUNCTION("""COMPUTED_VALUE"""),"Eugene de Ribeaux")</f>
        <v>Eugene de Ribeaux</v>
      </c>
      <c r="J12" s="26" t="str">
        <f ca="1">IFERROR(__xludf.DUMMYFUNCTION("""COMPUTED_VALUE"""),"deribeauxe@ptg-intl.com")</f>
        <v>deribeauxe@ptg-intl.com</v>
      </c>
      <c r="K12" s="26" t="str">
        <f ca="1">IFERROR(__xludf.DUMMYFUNCTION("""COMPUTED_VALUE"""),"2404498482")</f>
        <v>2404498482</v>
      </c>
    </row>
    <row r="13" spans="1:11" ht="30.75" customHeight="1" x14ac:dyDescent="0.25">
      <c r="A13" s="22" t="str">
        <f ca="1">IFERROR(__xludf.DUMMYFUNCTION("""COMPUTED_VALUE"""),"47QREB21D0012")</f>
        <v>47QREB21D0012</v>
      </c>
      <c r="B13" s="23" t="str">
        <f ca="1">IFERROR(__xludf.DUMMYFUNCTION("""COMPUTED_VALUE"""),"Radian Solutions, LLC")</f>
        <v>Radian Solutions, LLC</v>
      </c>
      <c r="C13" s="24" t="str">
        <f ca="1">IFERROR(__xludf.DUMMYFUNCTION("""COMPUTED_VALUE"""),"795462626")</f>
        <v>795462626</v>
      </c>
      <c r="D13" s="25" t="str">
        <f ca="1">IFERROR(__xludf.DUMMYFUNCTION("""COMPUTED_VALUE"""),"717 K St Ste 403 
Sacramento, CA, 95814-3408")</f>
        <v>717 K St Ste 403 
Sacramento, CA, 95814-3408</v>
      </c>
      <c r="E13" s="26" t="str">
        <f ca="1">IFERROR(__xludf.DUMMYFUNCTION("""COMPUTED_VALUE"""),"HCaTS@RadianSolutions.com")</f>
        <v>HCaTS@RadianSolutions.com</v>
      </c>
      <c r="F13" s="26" t="str">
        <f ca="1">IFERROR(__xludf.DUMMYFUNCTION("""COMPUTED_VALUE"""),"Niranjan Hiras")</f>
        <v>Niranjan Hiras</v>
      </c>
      <c r="G13" s="26" t="str">
        <f ca="1">IFERROR(__xludf.DUMMYFUNCTION("""COMPUTED_VALUE"""),"Niranjan@RadianSolutions.com")</f>
        <v>Niranjan@RadianSolutions.com</v>
      </c>
      <c r="H13" s="26" t="str">
        <f ca="1">IFERROR(__xludf.DUMMYFUNCTION("""COMPUTED_VALUE"""),"240-972-3426 x 101")</f>
        <v>240-972-3426 x 101</v>
      </c>
      <c r="I13" s="26" t="str">
        <f ca="1">IFERROR(__xludf.DUMMYFUNCTION("""COMPUTED_VALUE"""),"Josh Koshy")</f>
        <v>Josh Koshy</v>
      </c>
      <c r="J13" s="26" t="str">
        <f ca="1">IFERROR(__xludf.DUMMYFUNCTION("""COMPUTED_VALUE"""),"Josh@RadianSolutions.com")</f>
        <v>Josh@RadianSolutions.com</v>
      </c>
      <c r="K13" s="26" t="str">
        <f ca="1">IFERROR(__xludf.DUMMYFUNCTION("""COMPUTED_VALUE"""),"240-972-3426 x 107")</f>
        <v>240-972-3426 x 107</v>
      </c>
    </row>
    <row r="14" spans="1:11" ht="30.75" customHeight="1" x14ac:dyDescent="0.25">
      <c r="A14" s="22" t="str">
        <f ca="1">IFERROR(__xludf.DUMMYFUNCTION("""COMPUTED_VALUE"""),"47QREB21D0013")</f>
        <v>47QREB21D0013</v>
      </c>
      <c r="B14" s="23" t="str">
        <f ca="1">IFERROR(__xludf.DUMMYFUNCTION("""COMPUTED_VALUE"""),"Rainmakers-LinkVisum, LLC (RSLV)")</f>
        <v>Rainmakers-LinkVisum, LLC (RSLV)</v>
      </c>
      <c r="C14" s="24" t="str">
        <f ca="1">IFERROR(__xludf.DUMMYFUNCTION("""COMPUTED_VALUE"""),"117448853")</f>
        <v>117448853</v>
      </c>
      <c r="D14" s="25" t="str">
        <f ca="1">IFERROR(__xludf.DUMMYFUNCTION("""COMPUTED_VALUE"""),"18444 N. 25th Ave, Suite 420
Phoenix, AZ, 85023-1268")</f>
        <v>18444 N. 25th Ave, Suite 420
Phoenix, AZ, 85023-1268</v>
      </c>
      <c r="E14" s="26" t="str">
        <f ca="1">IFERROR(__xludf.DUMMYFUNCTION("""COMPUTED_VALUE"""),"denise.rainey@rainmakerssolutions.com")</f>
        <v>denise.rainey@rainmakerssolutions.com</v>
      </c>
      <c r="F14" s="26" t="str">
        <f ca="1">IFERROR(__xludf.DUMMYFUNCTION("""COMPUTED_VALUE"""),"Denise Rainey")</f>
        <v>Denise Rainey</v>
      </c>
      <c r="G14" s="26" t="str">
        <f ca="1">IFERROR(__xludf.DUMMYFUNCTION("""COMPUTED_VALUE"""),"denise.rainey@rainmakerssolutions.com")</f>
        <v>denise.rainey@rainmakerssolutions.com</v>
      </c>
      <c r="H14" s="26" t="str">
        <f ca="1">IFERROR(__xludf.DUMMYFUNCTION("""COMPUTED_VALUE"""),"443-255-3796")</f>
        <v>443-255-3796</v>
      </c>
      <c r="I14" s="26" t="str">
        <f ca="1">IFERROR(__xludf.DUMMYFUNCTION("""COMPUTED_VALUE"""),"Michael Mlotkowski")</f>
        <v>Michael Mlotkowski</v>
      </c>
      <c r="J14" s="26" t="str">
        <f ca="1">IFERROR(__xludf.DUMMYFUNCTION("""COMPUTED_VALUE"""),"michael.mlotkowski@rainmakerssolutions.com")</f>
        <v>michael.mlotkowski@rainmakerssolutions.com</v>
      </c>
      <c r="K14" s="26" t="str">
        <f ca="1">IFERROR(__xludf.DUMMYFUNCTION("""COMPUTED_VALUE"""),"571-263-6096")</f>
        <v>571-263-6096</v>
      </c>
    </row>
    <row r="15" spans="1:11" ht="30.75" customHeight="1" x14ac:dyDescent="0.25">
      <c r="A15" s="22" t="str">
        <f ca="1">IFERROR(__xludf.DUMMYFUNCTION("""COMPUTED_VALUE"""),"47QREB21D0014")</f>
        <v>47QREB21D0014</v>
      </c>
      <c r="B15" s="23" t="str">
        <f ca="1">IFERROR(__xludf.DUMMYFUNCTION("""COMPUTED_VALUE"""),"SB-SBI JV, LLC")</f>
        <v>SB-SBI JV, LLC</v>
      </c>
      <c r="C15" s="24" t="str">
        <f ca="1">IFERROR(__xludf.DUMMYFUNCTION("""COMPUTED_VALUE"""),"117434918")</f>
        <v>117434918</v>
      </c>
      <c r="D15" s="25" t="str">
        <f ca="1">IFERROR(__xludf.DUMMYFUNCTION("""COMPUTED_VALUE"""),"7620 LITTLE RIVER TPKE STE 204
ANNANDALE, VA, 22003-2620")</f>
        <v>7620 LITTLE RIVER TPKE STE 204
ANNANDALE, VA, 22003-2620</v>
      </c>
      <c r="E15" s="26" t="str">
        <f ca="1">IFERROR(__xludf.DUMMYFUNCTION("""COMPUTED_VALUE"""),"hcats@shadowboxllc.com")</f>
        <v>hcats@shadowboxllc.com</v>
      </c>
      <c r="F15" s="26" t="str">
        <f ca="1">IFERROR(__xludf.DUMMYFUNCTION("""COMPUTED_VALUE"""),"Karyn Kortan")</f>
        <v>Karyn Kortan</v>
      </c>
      <c r="G15" s="26" t="str">
        <f ca="1">IFERROR(__xludf.DUMMYFUNCTION("""COMPUTED_VALUE"""),"karyn@shadowboxllc.com")</f>
        <v>karyn@shadowboxllc.com</v>
      </c>
      <c r="H15" s="26" t="str">
        <f ca="1">IFERROR(__xludf.DUMMYFUNCTION("""COMPUTED_VALUE"""),"703-395-8010")</f>
        <v>703-395-8010</v>
      </c>
      <c r="I15" s="26" t="str">
        <f ca="1">IFERROR(__xludf.DUMMYFUNCTION("""COMPUTED_VALUE"""),"Richard Kortan")</f>
        <v>Richard Kortan</v>
      </c>
      <c r="J15" s="26" t="str">
        <f ca="1">IFERROR(__xludf.DUMMYFUNCTION("""COMPUTED_VALUE"""),"rkortan@shadowboxllc.com")</f>
        <v>rkortan@shadowboxllc.com</v>
      </c>
      <c r="K15" s="26" t="str">
        <f ca="1">IFERROR(__xludf.DUMMYFUNCTION("""COMPUTED_VALUE"""),"703-395-8010")</f>
        <v>703-395-8010</v>
      </c>
    </row>
    <row r="16" spans="1:11" ht="45" x14ac:dyDescent="0.25">
      <c r="A16" s="22" t="str">
        <f ca="1">IFERROR(__xludf.DUMMYFUNCTION("""COMPUTED_VALUE"""),"47QREB21D0015")</f>
        <v>47QREB21D0015</v>
      </c>
      <c r="B16" s="23" t="str">
        <f ca="1">IFERROR(__xludf.DUMMYFUNCTION("""COMPUTED_VALUE"""),"SGC23 JV, LLC")</f>
        <v>SGC23 JV, LLC</v>
      </c>
      <c r="C16" s="24" t="str">
        <f ca="1">IFERROR(__xludf.DUMMYFUNCTION("""COMPUTED_VALUE"""),"081069592")</f>
        <v>081069592</v>
      </c>
      <c r="D16" s="25" t="str">
        <f ca="1">IFERROR(__xludf.DUMMYFUNCTION("""COMPUTED_VALUE"""),"4465 Brookfield Corporate Dr Ste 102
Chantilly, VA, 20151-2107")</f>
        <v>4465 Brookfield Corporate Dr Ste 102
Chantilly, VA, 20151-2107</v>
      </c>
      <c r="E16" s="26" t="str">
        <f ca="1">IFERROR(__xludf.DUMMYFUNCTION("""COMPUTED_VALUE"""),"HCaTS@sgc23llc.com")</f>
        <v>HCaTS@sgc23llc.com</v>
      </c>
      <c r="F16" s="26" t="str">
        <f ca="1">IFERROR(__xludf.DUMMYFUNCTION("""COMPUTED_VALUE"""),"Kelyn A Witmer")</f>
        <v>Kelyn A Witmer</v>
      </c>
      <c r="G16" s="26" t="str">
        <f ca="1">IFERROR(__xludf.DUMMYFUNCTION("""COMPUTED_VALUE"""),"kwitmer@solutionguidance.com")</f>
        <v>kwitmer@solutionguidance.com</v>
      </c>
      <c r="H16" s="26" t="str">
        <f ca="1">IFERROR(__xludf.DUMMYFUNCTION("""COMPUTED_VALUE"""),"703-961-1602")</f>
        <v>703-961-1602</v>
      </c>
      <c r="I16" s="26" t="str">
        <f ca="1">IFERROR(__xludf.DUMMYFUNCTION("""COMPUTED_VALUE"""),"Dave Fall")</f>
        <v>Dave Fall</v>
      </c>
      <c r="J16" s="26" t="str">
        <f ca="1">IFERROR(__xludf.DUMMYFUNCTION("""COMPUTED_VALUE"""),"dfall@solutionguidance.com")</f>
        <v>dfall@solutionguidance.com</v>
      </c>
      <c r="K16" s="26" t="str">
        <f ca="1">IFERROR(__xludf.DUMMYFUNCTION("""COMPUTED_VALUE"""),"7039611602")</f>
        <v>7039611602</v>
      </c>
    </row>
    <row r="17" spans="1:11" ht="30.75" customHeight="1" x14ac:dyDescent="0.25">
      <c r="A17" s="22" t="str">
        <f ca="1">IFERROR(__xludf.DUMMYFUNCTION("""COMPUTED_VALUE"""),"47QREB21D0016")</f>
        <v>47QREB21D0016</v>
      </c>
      <c r="B17" s="23" t="str">
        <f ca="1">IFERROR(__xludf.DUMMYFUNCTION("""COMPUTED_VALUE"""),"Tipping Point Solutions, Inc")</f>
        <v>Tipping Point Solutions, Inc</v>
      </c>
      <c r="C17" s="24" t="str">
        <f ca="1">IFERROR(__xludf.DUMMYFUNCTION("""COMPUTED_VALUE"""),"967649968")</f>
        <v>967649968</v>
      </c>
      <c r="D17" s="25" t="str">
        <f ca="1">IFERROR(__xludf.DUMMYFUNCTION("""COMPUTED_VALUE"""),"7000 S YOSEMITE ST STE 280
CENTENNIAL, CO, 80112-2007")</f>
        <v>7000 S YOSEMITE ST STE 280
CENTENNIAL, CO, 80112-2007</v>
      </c>
      <c r="E17" s="26" t="str">
        <f ca="1">IFERROR(__xludf.DUMMYFUNCTION("""COMPUTED_VALUE"""),"HCATS@tp-solutions.com")</f>
        <v>HCATS@tp-solutions.com</v>
      </c>
      <c r="F17" s="26" t="str">
        <f ca="1">IFERROR(__xludf.DUMMYFUNCTION("""COMPUTED_VALUE"""),"Jim Threlfall")</f>
        <v>Jim Threlfall</v>
      </c>
      <c r="G17" s="26" t="str">
        <f ca="1">IFERROR(__xludf.DUMMYFUNCTION("""COMPUTED_VALUE"""),"jim.threlfall@tp-solutions.com")</f>
        <v>jim.threlfall@tp-solutions.com</v>
      </c>
      <c r="H17" s="26" t="str">
        <f ca="1">IFERROR(__xludf.DUMMYFUNCTION("""COMPUTED_VALUE"""),"175-775-3363")</f>
        <v>175-775-3363</v>
      </c>
      <c r="I17" s="26" t="str">
        <f ca="1">IFERROR(__xludf.DUMMYFUNCTION("""COMPUTED_VALUE"""),"Rick Schmidt")</f>
        <v>Rick Schmidt</v>
      </c>
      <c r="J17" s="26" t="str">
        <f ca="1">IFERROR(__xludf.DUMMYFUNCTION("""COMPUTED_VALUE"""),"rick.schmidt@tp-solutions.com")</f>
        <v>rick.schmidt@tp-solutions.com</v>
      </c>
      <c r="K17" s="26" t="str">
        <f ca="1">IFERROR(__xludf.DUMMYFUNCTION("""COMPUTED_VALUE"""),"850-377-0533")</f>
        <v>850-377-0533</v>
      </c>
    </row>
    <row r="18" spans="1:11" ht="30.75" customHeight="1" x14ac:dyDescent="0.25">
      <c r="A18" s="22" t="str">
        <f ca="1">IFERROR(__xludf.DUMMYFUNCTION("""COMPUTED_VALUE"""),"47QREB21D0017")</f>
        <v>47QREB21D0017</v>
      </c>
      <c r="B18" s="23" t="str">
        <f ca="1">IFERROR(__xludf.DUMMYFUNCTION("""COMPUTED_VALUE"""),"VS4S, LLC")</f>
        <v>VS4S, LLC</v>
      </c>
      <c r="C18" s="24" t="str">
        <f ca="1">IFERROR(__xludf.DUMMYFUNCTION("""COMPUTED_VALUE"""),"079228646")</f>
        <v>079228646</v>
      </c>
      <c r="D18" s="25" t="str">
        <f ca="1">IFERROR(__xludf.DUMMYFUNCTION("""COMPUTED_VALUE"""),"5900 Balconies Drive, Suite 5812
Austin, TX 78731-4257")</f>
        <v>5900 Balconies Drive, Suite 5812
Austin, TX 78731-4257</v>
      </c>
      <c r="E18" s="26" t="str">
        <f ca="1">IFERROR(__xludf.DUMMYFUNCTION("""COMPUTED_VALUE"""),"poonam@vs4s.com")</f>
        <v>poonam@vs4s.com</v>
      </c>
      <c r="F18" s="26" t="str">
        <f ca="1">IFERROR(__xludf.DUMMYFUNCTION("""COMPUTED_VALUE"""),"Poonam Bhardwaj")</f>
        <v>Poonam Bhardwaj</v>
      </c>
      <c r="G18" s="26" t="str">
        <f ca="1">IFERROR(__xludf.DUMMYFUNCTION("""COMPUTED_VALUE"""),"poonam@vs4s.com")</f>
        <v>poonam@vs4s.com</v>
      </c>
      <c r="H18" s="26" t="str">
        <f ca="1">IFERROR(__xludf.DUMMYFUNCTION("""COMPUTED_VALUE"""),"301-537-6937")</f>
        <v>301-537-6937</v>
      </c>
      <c r="I18" s="26" t="str">
        <f ca="1">IFERROR(__xludf.DUMMYFUNCTION("""COMPUTED_VALUE"""),"Catherine Yoder")</f>
        <v>Catherine Yoder</v>
      </c>
      <c r="J18" s="26" t="str">
        <f ca="1">IFERROR(__xludf.DUMMYFUNCTION("""COMPUTED_VALUE"""),"cathy@vs4s.com")</f>
        <v>cathy@vs4s.com</v>
      </c>
      <c r="K18" s="26" t="str">
        <f ca="1">IFERROR(__xludf.DUMMYFUNCTION("""COMPUTED_VALUE"""),"717-465-6444")</f>
        <v>717-465-6444</v>
      </c>
    </row>
    <row r="19" spans="1:11" ht="30.75" customHeight="1" x14ac:dyDescent="0.25">
      <c r="A19" s="22" t="str">
        <f ca="1">IFERROR(__xludf.DUMMYFUNCTION("""COMPUTED_VALUE"""),"47QREB21D0018")</f>
        <v>47QREB21D0018</v>
      </c>
      <c r="B19" s="23" t="str">
        <f ca="1">IFERROR(__xludf.DUMMYFUNCTION("""COMPUTED_VALUE"""),"Workforce Innovations JV")</f>
        <v>Workforce Innovations JV</v>
      </c>
      <c r="C19" s="24" t="str">
        <f ca="1">IFERROR(__xludf.DUMMYFUNCTION("""COMPUTED_VALUE"""),"117443129")</f>
        <v>117443129</v>
      </c>
      <c r="D19" s="25" t="str">
        <f ca="1">IFERROR(__xludf.DUMMYFUNCTION("""COMPUTED_VALUE"""),"3909 Arctic Blvd Ste 500
Anchorage, AK, 99503-5793")</f>
        <v>3909 Arctic Blvd Ste 500
Anchorage, AK, 99503-5793</v>
      </c>
      <c r="E19" s="26" t="str">
        <f ca="1">IFERROR(__xludf.DUMMYFUNCTION("""COMPUTED_VALUE"""),"WFIHCATS@alutiiq.com ")</f>
        <v xml:space="preserve">WFIHCATS@alutiiq.com </v>
      </c>
      <c r="F19" s="26" t="str">
        <f ca="1">IFERROR(__xludf.DUMMYFUNCTION("""COMPUTED_VALUE"""),"Larry Symons")</f>
        <v>Larry Symons</v>
      </c>
      <c r="G19" s="26" t="str">
        <f ca="1">IFERROR(__xludf.DUMMYFUNCTION("""COMPUTED_VALUE"""),"lsymons@alutiiq.com")</f>
        <v>lsymons@alutiiq.com</v>
      </c>
      <c r="H19" s="26" t="str">
        <f ca="1">IFERROR(__xludf.DUMMYFUNCTION("""COMPUTED_VALUE"""),"256-489-9304")</f>
        <v>256-489-9304</v>
      </c>
      <c r="I19" s="26" t="str">
        <f ca="1">IFERROR(__xludf.DUMMYFUNCTION("""COMPUTED_VALUE"""),"Elizabeth Galloway")</f>
        <v>Elizabeth Galloway</v>
      </c>
      <c r="J19" s="26" t="str">
        <f ca="1">IFERROR(__xludf.DUMMYFUNCTION("""COMPUTED_VALUE"""),"egalloway@alutiiq.com")</f>
        <v>egalloway@alutiiq.com</v>
      </c>
      <c r="K19" s="26" t="str">
        <f ca="1">IFERROR(__xludf.DUMMYFUNCTION("""COMPUTED_VALUE"""),"(256) 489-9306")</f>
        <v>(256) 489-9306</v>
      </c>
    </row>
    <row r="20" spans="1:11" ht="30.75" customHeight="1" x14ac:dyDescent="0.25">
      <c r="A20" s="22"/>
      <c r="B20" s="23"/>
      <c r="C20" s="24"/>
      <c r="D20" s="25"/>
      <c r="E20" s="26"/>
      <c r="F20" s="26"/>
      <c r="G20" s="26"/>
      <c r="H20" s="26"/>
      <c r="I20" s="26"/>
      <c r="J20" s="26"/>
      <c r="K20" s="26"/>
    </row>
    <row r="21" spans="1:11" ht="30.75" customHeight="1" x14ac:dyDescent="0.25">
      <c r="A21" s="22"/>
      <c r="B21" s="23"/>
      <c r="C21" s="24"/>
      <c r="D21" s="25"/>
      <c r="E21" s="26"/>
      <c r="F21" s="26"/>
      <c r="G21" s="26"/>
      <c r="H21" s="26"/>
      <c r="I21" s="26"/>
      <c r="J21" s="26"/>
      <c r="K21" s="26"/>
    </row>
    <row r="22" spans="1:11" ht="30.75" customHeight="1" x14ac:dyDescent="0.25">
      <c r="A22" s="22"/>
      <c r="B22" s="23"/>
      <c r="C22" s="24"/>
      <c r="D22" s="25"/>
      <c r="E22" s="26"/>
      <c r="F22" s="26"/>
      <c r="G22" s="26"/>
      <c r="H22" s="26"/>
      <c r="I22" s="26"/>
      <c r="J22" s="26"/>
      <c r="K22" s="26"/>
    </row>
    <row r="23" spans="1:11" ht="30.75" customHeight="1" x14ac:dyDescent="0.25">
      <c r="A23" s="22"/>
      <c r="B23" s="23"/>
      <c r="C23" s="24"/>
      <c r="D23" s="25"/>
      <c r="E23" s="26"/>
      <c r="F23" s="26"/>
      <c r="G23" s="26"/>
      <c r="H23" s="26"/>
      <c r="I23" s="26"/>
      <c r="J23" s="26"/>
      <c r="K23" s="26"/>
    </row>
    <row r="24" spans="1:11" ht="30.75" customHeight="1" x14ac:dyDescent="0.25">
      <c r="A24" s="22"/>
      <c r="B24" s="23"/>
      <c r="C24" s="24"/>
      <c r="D24" s="25"/>
      <c r="E24" s="26"/>
      <c r="F24" s="26"/>
      <c r="G24" s="26"/>
      <c r="H24" s="26"/>
      <c r="I24" s="26"/>
      <c r="J24" s="26"/>
      <c r="K24" s="26"/>
    </row>
    <row r="25" spans="1:11" ht="30.75" customHeight="1" x14ac:dyDescent="0.25">
      <c r="A25" s="22"/>
      <c r="B25" s="23"/>
      <c r="C25" s="24"/>
      <c r="D25" s="25"/>
      <c r="E25" s="26"/>
      <c r="F25" s="26"/>
      <c r="G25" s="26"/>
      <c r="H25" s="26"/>
      <c r="I25" s="26"/>
      <c r="J25" s="26"/>
      <c r="K25" s="26"/>
    </row>
    <row r="26" spans="1:11" ht="30.75" customHeight="1" x14ac:dyDescent="0.25">
      <c r="A26" s="22"/>
      <c r="B26" s="23"/>
      <c r="C26" s="24"/>
      <c r="D26" s="25"/>
      <c r="E26" s="26"/>
      <c r="F26" s="26"/>
      <c r="G26" s="26"/>
      <c r="H26" s="26"/>
      <c r="I26" s="26"/>
      <c r="J26" s="26"/>
      <c r="K26" s="26"/>
    </row>
    <row r="27" spans="1:11" ht="30.75" customHeight="1" x14ac:dyDescent="0.25">
      <c r="A27" s="22"/>
      <c r="B27" s="23"/>
      <c r="C27" s="24"/>
      <c r="D27" s="25"/>
      <c r="E27" s="26"/>
      <c r="F27" s="26"/>
      <c r="G27" s="26"/>
      <c r="H27" s="26"/>
      <c r="I27" s="26"/>
      <c r="J27" s="26"/>
      <c r="K27" s="26"/>
    </row>
    <row r="28" spans="1:11" ht="30.75" customHeight="1" x14ac:dyDescent="0.25">
      <c r="A28" s="22"/>
      <c r="B28" s="23"/>
      <c r="C28" s="24"/>
      <c r="D28" s="25"/>
      <c r="E28" s="26"/>
      <c r="F28" s="26"/>
      <c r="G28" s="26"/>
      <c r="H28" s="26"/>
      <c r="I28" s="26"/>
      <c r="J28" s="26"/>
      <c r="K28" s="26"/>
    </row>
    <row r="29" spans="1:11" ht="30.75" customHeight="1" x14ac:dyDescent="0.25">
      <c r="A29" s="22"/>
      <c r="B29" s="23"/>
      <c r="C29" s="24"/>
      <c r="D29" s="25"/>
      <c r="E29" s="26"/>
      <c r="F29" s="26"/>
      <c r="G29" s="26"/>
      <c r="H29" s="26"/>
      <c r="I29" s="26"/>
      <c r="J29" s="26"/>
      <c r="K29" s="26"/>
    </row>
    <row r="30" spans="1:11" ht="30.75" customHeight="1" x14ac:dyDescent="0.25">
      <c r="A30" s="22"/>
      <c r="B30" s="23"/>
      <c r="C30" s="24"/>
      <c r="D30" s="25"/>
      <c r="E30" s="26"/>
      <c r="F30" s="26"/>
      <c r="G30" s="26"/>
      <c r="H30" s="26"/>
      <c r="I30" s="26"/>
      <c r="J30" s="26"/>
      <c r="K30" s="26"/>
    </row>
    <row r="31" spans="1:11" ht="30.75" customHeight="1" x14ac:dyDescent="0.25">
      <c r="A31" s="22"/>
      <c r="B31" s="23"/>
      <c r="C31" s="24"/>
      <c r="D31" s="25"/>
      <c r="E31" s="26"/>
      <c r="F31" s="26"/>
      <c r="G31" s="26"/>
      <c r="H31" s="26"/>
      <c r="I31" s="26"/>
      <c r="J31" s="26"/>
      <c r="K31" s="26"/>
    </row>
    <row r="32" spans="1:11" ht="30.75" customHeight="1" x14ac:dyDescent="0.25">
      <c r="A32" s="22"/>
      <c r="B32" s="23"/>
      <c r="C32" s="24"/>
      <c r="D32" s="25"/>
      <c r="E32" s="26"/>
      <c r="F32" s="26"/>
      <c r="G32" s="26"/>
      <c r="H32" s="26"/>
      <c r="I32" s="26"/>
      <c r="J32" s="26"/>
      <c r="K32" s="26"/>
    </row>
    <row r="33" spans="1:11" ht="30.75" customHeight="1" x14ac:dyDescent="0.25">
      <c r="A33" s="22"/>
      <c r="B33" s="23"/>
      <c r="C33" s="24"/>
      <c r="D33" s="25"/>
      <c r="E33" s="26"/>
      <c r="F33" s="26"/>
      <c r="G33" s="26"/>
      <c r="H33" s="26"/>
      <c r="I33" s="26"/>
      <c r="J33" s="26"/>
      <c r="K33" s="26"/>
    </row>
    <row r="34" spans="1:11" ht="30.75" customHeight="1" x14ac:dyDescent="0.25">
      <c r="A34" s="22"/>
      <c r="B34" s="23"/>
      <c r="C34" s="24"/>
      <c r="D34" s="25"/>
      <c r="E34" s="26"/>
      <c r="F34" s="26"/>
      <c r="G34" s="26"/>
      <c r="H34" s="26"/>
      <c r="I34" s="26"/>
      <c r="J34" s="26"/>
      <c r="K34" s="26"/>
    </row>
    <row r="35" spans="1:11" ht="30.75" customHeight="1" x14ac:dyDescent="0.25">
      <c r="A35" s="22"/>
      <c r="B35" s="23"/>
      <c r="C35" s="24"/>
      <c r="D35" s="25"/>
      <c r="E35" s="26"/>
      <c r="F35" s="26"/>
      <c r="G35" s="26"/>
      <c r="H35" s="26"/>
      <c r="I35" s="26"/>
      <c r="J35" s="26"/>
      <c r="K35" s="26"/>
    </row>
    <row r="36" spans="1:11" ht="30.75" customHeight="1" x14ac:dyDescent="0.25">
      <c r="A36" s="22"/>
      <c r="B36" s="23"/>
      <c r="C36" s="24"/>
      <c r="D36" s="25"/>
      <c r="E36" s="26"/>
      <c r="F36" s="26"/>
      <c r="G36" s="26"/>
      <c r="H36" s="26"/>
      <c r="I36" s="26"/>
      <c r="J36" s="26"/>
      <c r="K36" s="26"/>
    </row>
    <row r="37" spans="1:11" ht="30.75" customHeight="1" x14ac:dyDescent="0.25">
      <c r="A37" s="22"/>
      <c r="B37" s="23"/>
      <c r="C37" s="24"/>
      <c r="D37" s="25"/>
      <c r="E37" s="26"/>
      <c r="F37" s="26"/>
      <c r="G37" s="26"/>
      <c r="H37" s="26"/>
      <c r="I37" s="26"/>
      <c r="J37" s="26"/>
      <c r="K37" s="26"/>
    </row>
    <row r="38" spans="1:11" ht="30.75" customHeight="1" x14ac:dyDescent="0.25">
      <c r="A38" s="22"/>
      <c r="B38" s="23"/>
      <c r="C38" s="24"/>
      <c r="D38" s="25"/>
      <c r="E38" s="26"/>
      <c r="F38" s="26"/>
      <c r="G38" s="26"/>
      <c r="H38" s="26"/>
      <c r="I38" s="26"/>
      <c r="J38" s="26"/>
      <c r="K38" s="26"/>
    </row>
    <row r="39" spans="1:11" ht="30.75" customHeight="1" x14ac:dyDescent="0.25">
      <c r="A39" s="22"/>
      <c r="B39" s="23"/>
      <c r="C39" s="24"/>
      <c r="D39" s="25"/>
      <c r="E39" s="26"/>
      <c r="F39" s="26"/>
      <c r="G39" s="26"/>
      <c r="H39" s="26"/>
      <c r="I39" s="26"/>
      <c r="J39" s="26"/>
      <c r="K39" s="26"/>
    </row>
  </sheetData>
  <pageMargins left="0.2" right="0.2" top="0.2" bottom="0.2" header="0" footer="0"/>
  <pageSetup orientation="landscape"/>
  <tableParts count="2">
    <tablePart r:id="rId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38761D"/>
  </sheetPr>
  <dimension ref="A1:K40"/>
  <sheetViews>
    <sheetView workbookViewId="0">
      <pane xSplit="2" ySplit="2" topLeftCell="C16" activePane="bottomRight" state="frozen"/>
      <selection pane="topRight" activeCell="C1" sqref="C1"/>
      <selection pane="bottomLeft" activeCell="A3" sqref="A3"/>
      <selection pane="bottomRight" activeCell="C3" sqref="C3"/>
    </sheetView>
  </sheetViews>
  <sheetFormatPr defaultColWidth="11.25" defaultRowHeight="15" customHeight="1" x14ac:dyDescent="0.25"/>
  <cols>
    <col min="1" max="1" width="15.75" customWidth="1"/>
    <col min="2" max="2" width="30.75" customWidth="1"/>
    <col min="3" max="3" width="9.125" customWidth="1"/>
    <col min="4" max="4" width="27.875" customWidth="1"/>
    <col min="5" max="5" width="32.375" customWidth="1"/>
    <col min="6" max="6" width="14.25" customWidth="1"/>
    <col min="7" max="7" width="27.75" customWidth="1"/>
    <col min="8" max="8" width="14.125" customWidth="1"/>
    <col min="9" max="9" width="15.25" customWidth="1"/>
    <col min="10" max="10" width="32" customWidth="1"/>
    <col min="11" max="11" width="16.75" customWidth="1"/>
  </cols>
  <sheetData>
    <row r="1" spans="1:11" ht="52.5" customHeight="1" x14ac:dyDescent="0.25">
      <c r="A1" s="61" t="s">
        <v>43</v>
      </c>
      <c r="B1" s="72"/>
      <c r="C1" s="73"/>
      <c r="D1" s="72"/>
      <c r="E1" s="74"/>
      <c r="F1" s="75"/>
      <c r="G1" s="75"/>
      <c r="H1" s="76"/>
      <c r="I1" s="75"/>
      <c r="J1" s="75"/>
      <c r="K1" s="77"/>
    </row>
    <row r="2" spans="1:11" ht="37.5" customHeight="1" x14ac:dyDescent="0.25">
      <c r="A2" s="68" t="s">
        <v>44</v>
      </c>
      <c r="B2" s="69" t="s">
        <v>17</v>
      </c>
      <c r="C2" s="70" t="s">
        <v>18</v>
      </c>
      <c r="D2" s="69" t="s">
        <v>19</v>
      </c>
      <c r="E2" s="69" t="s">
        <v>20</v>
      </c>
      <c r="F2" s="69" t="s">
        <v>21</v>
      </c>
      <c r="G2" s="70" t="s">
        <v>22</v>
      </c>
      <c r="H2" s="70" t="s">
        <v>23</v>
      </c>
      <c r="I2" s="70" t="s">
        <v>24</v>
      </c>
      <c r="J2" s="70" t="s">
        <v>25</v>
      </c>
      <c r="K2" s="71" t="s">
        <v>26</v>
      </c>
    </row>
    <row r="3" spans="1:11" ht="30.75" customHeight="1" x14ac:dyDescent="0.25">
      <c r="A3" s="22" t="str">
        <f ca="1">IFERROR(__xludf.DUMMYFUNCTION("Query(importrange(""https://docs.google.com/spreadsheets/d/1t10Foe1vTEZyMDsOA_q-Q29vy-Kz9U_eP3ItSEmmPak/edit#gid=525286931"",""HCaTS Master Contracts info!A2:X137""),""SELECT Col8, Col13, Col15, Col17, Col14,Col18, Col19, Col20, Col21, Col22, Col23 where "&amp;"Col8 is not null order by Col13"",0)"),"47QREB21D0019")</f>
        <v>47QREB21D0019</v>
      </c>
      <c r="B3" s="23" t="str">
        <f ca="1">IFERROR(__xludf.DUMMYFUNCTION("""COMPUTED_VALUE"""),"A P Ventures, LLC")</f>
        <v>A P Ventures, LLC</v>
      </c>
      <c r="C3" s="24" t="str">
        <f ca="1">IFERROR(__xludf.DUMMYFUNCTION("""COMPUTED_VALUE"""),"005752289")</f>
        <v>005752289</v>
      </c>
      <c r="D3" s="25" t="str">
        <f ca="1">IFERROR(__xludf.DUMMYFUNCTION("""COMPUTED_VALUE"""),"9520 Berger Road, Suite 107, Columbia, MD 21046, U.S.A.")</f>
        <v>9520 Berger Road, Suite 107, Columbia, MD 21046, U.S.A.</v>
      </c>
      <c r="E3" s="26" t="str">
        <f ca="1">IFERROR(__xludf.DUMMYFUNCTION("""COMPUTED_VALUE"""),"HCaTS-SB@apvit.com")</f>
        <v>HCaTS-SB@apvit.com</v>
      </c>
      <c r="F3" s="26" t="str">
        <f ca="1">IFERROR(__xludf.DUMMYFUNCTION("""COMPUTED_VALUE"""),"Nandita Gududuri")</f>
        <v>Nandita Gududuri</v>
      </c>
      <c r="G3" s="26" t="str">
        <f ca="1">IFERROR(__xludf.DUMMYFUNCTION("""COMPUTED_VALUE"""),"ngududuri@apvit.com")</f>
        <v>ngududuri@apvit.com</v>
      </c>
      <c r="H3" s="26" t="str">
        <f ca="1">IFERROR(__xludf.DUMMYFUNCTION("""COMPUTED_VALUE"""),"(301) 535-2495")</f>
        <v>(301) 535-2495</v>
      </c>
      <c r="I3" s="26" t="str">
        <f ca="1">IFERROR(__xludf.DUMMYFUNCTION("""COMPUTED_VALUE"""),"Jessica Farinholt")</f>
        <v>Jessica Farinholt</v>
      </c>
      <c r="J3" s="26" t="str">
        <f ca="1">IFERROR(__xludf.DUMMYFUNCTION("""COMPUTED_VALUE"""),"contracts@apvit.com")</f>
        <v>contracts@apvit.com</v>
      </c>
      <c r="K3" s="26" t="str">
        <f ca="1">IFERROR(__xludf.DUMMYFUNCTION("""COMPUTED_VALUE"""),"(443) 542-9188")</f>
        <v>(443) 542-9188</v>
      </c>
    </row>
    <row r="4" spans="1:11" ht="30.75" customHeight="1" x14ac:dyDescent="0.25">
      <c r="A4" s="22" t="str">
        <f ca="1">IFERROR(__xludf.DUMMYFUNCTION("""COMPUTED_VALUE"""),"47QREB21D0020")</f>
        <v>47QREB21D0020</v>
      </c>
      <c r="B4" s="23" t="str">
        <f ca="1">IFERROR(__xludf.DUMMYFUNCTION("""COMPUTED_VALUE"""),"Advanced Computer Learning Company, LLC")</f>
        <v>Advanced Computer Learning Company, LLC</v>
      </c>
      <c r="C4" s="24" t="str">
        <f ca="1">IFERROR(__xludf.DUMMYFUNCTION("""COMPUTED_VALUE"""),"141415021")</f>
        <v>141415021</v>
      </c>
      <c r="D4" s="25" t="str">
        <f ca="1">IFERROR(__xludf.DUMMYFUNCTION("""COMPUTED_VALUE"""),"208 C Hay Street, Suite C, Fayetteville NC 28301")</f>
        <v>208 C Hay Street, Suite C, Fayetteville NC 28301</v>
      </c>
      <c r="E4" s="26" t="str">
        <f ca="1">IFERROR(__xludf.DUMMYFUNCTION("""COMPUTED_VALUE"""),"HCATS-SB@goaclc.com, HCaTS_8A@goaclc.com")</f>
        <v>HCATS-SB@goaclc.com, HCaTS_8A@goaclc.com</v>
      </c>
      <c r="F4" s="26" t="str">
        <f ca="1">IFERROR(__xludf.DUMMYFUNCTION("""COMPUTED_VALUE"""),"Jack Zeigler")</f>
        <v>Jack Zeigler</v>
      </c>
      <c r="G4" s="26" t="str">
        <f ca="1">IFERROR(__xludf.DUMMYFUNCTION("""COMPUTED_VALUE"""),"jack.zeigler@goaclc.com")</f>
        <v>jack.zeigler@goaclc.com</v>
      </c>
      <c r="H4" s="26" t="str">
        <f ca="1">IFERROR(__xludf.DUMMYFUNCTION("""COMPUTED_VALUE"""),"910-670-1541 ")</f>
        <v xml:space="preserve">910-670-1541 </v>
      </c>
      <c r="I4" s="26" t="str">
        <f ca="1">IFERROR(__xludf.DUMMYFUNCTION("""COMPUTED_VALUE"""),"Kathryn Cox")</f>
        <v>Kathryn Cox</v>
      </c>
      <c r="J4" s="26" t="str">
        <f ca="1">IFERROR(__xludf.DUMMYFUNCTION("""COMPUTED_VALUE"""),"KCox@goaclc.com")</f>
        <v>KCox@goaclc.com</v>
      </c>
      <c r="K4" s="26" t="str">
        <f ca="1">IFERROR(__xludf.DUMMYFUNCTION("""COMPUTED_VALUE"""),"9109168815")</f>
        <v>9109168815</v>
      </c>
    </row>
    <row r="5" spans="1:11" ht="30.75" customHeight="1" x14ac:dyDescent="0.25">
      <c r="A5" s="22" t="str">
        <f ca="1">IFERROR(__xludf.DUMMYFUNCTION("""COMPUTED_VALUE"""),"47QREB21D0021")</f>
        <v>47QREB21D0021</v>
      </c>
      <c r="B5" s="23" t="str">
        <f ca="1">IFERROR(__xludf.DUMMYFUNCTION("""COMPUTED_VALUE"""),"Cape Fox Facilities Services, LLC")</f>
        <v>Cape Fox Facilities Services, LLC</v>
      </c>
      <c r="C5" s="24" t="str">
        <f ca="1">IFERROR(__xludf.DUMMYFUNCTION("""COMPUTED_VALUE"""),"080693974")</f>
        <v>080693974</v>
      </c>
      <c r="D5" s="25" t="str">
        <f ca="1">IFERROR(__xludf.DUMMYFUNCTION("""COMPUTED_VALUE"""),"7050 Infantry Rdg Rd 
Manassas, VA, 20109-2316")</f>
        <v>7050 Infantry Rdg Rd 
Manassas, VA, 20109-2316</v>
      </c>
      <c r="E5" s="26" t="str">
        <f ca="1">IFERROR(__xludf.DUMMYFUNCTION("""COMPUTED_VALUE"""),"HCATS8A@capefox-fs.com")</f>
        <v>HCATS8A@capefox-fs.com</v>
      </c>
      <c r="F5" s="26" t="str">
        <f ca="1">IFERROR(__xludf.DUMMYFUNCTION("""COMPUTED_VALUE"""),"Amanda Thomas")</f>
        <v>Amanda Thomas</v>
      </c>
      <c r="G5" s="26" t="str">
        <f ca="1">IFERROR(__xludf.DUMMYFUNCTION("""COMPUTED_VALUE"""),"athomas@capefoxss.com")</f>
        <v>athomas@capefoxss.com</v>
      </c>
      <c r="H5" s="26" t="str">
        <f ca="1">IFERROR(__xludf.DUMMYFUNCTION("""COMPUTED_VALUE"""),"703-686-2330")</f>
        <v>703-686-2330</v>
      </c>
      <c r="I5" s="26" t="str">
        <f ca="1">IFERROR(__xludf.DUMMYFUNCTION("""COMPUTED_VALUE"""),"Shane Muncy")</f>
        <v>Shane Muncy</v>
      </c>
      <c r="J5" s="26" t="str">
        <f ca="1">IFERROR(__xludf.DUMMYFUNCTION("""COMPUTED_VALUE"""),"smuncy@capefoxss.com")</f>
        <v>smuncy@capefoxss.com</v>
      </c>
      <c r="K5" s="26" t="str">
        <f ca="1">IFERROR(__xludf.DUMMYFUNCTION("""COMPUTED_VALUE"""),"703-686-2284 ")</f>
        <v xml:space="preserve">703-686-2284 </v>
      </c>
    </row>
    <row r="6" spans="1:11" ht="30.75" customHeight="1" x14ac:dyDescent="0.25">
      <c r="A6" s="22" t="str">
        <f ca="1">IFERROR(__xludf.DUMMYFUNCTION("""COMPUTED_VALUE"""),"47QREB21D0022")</f>
        <v>47QREB21D0022</v>
      </c>
      <c r="B6" s="23" t="str">
        <f ca="1">IFERROR(__xludf.DUMMYFUNCTION("""COMPUTED_VALUE"""),"Changeis, Inc")</f>
        <v>Changeis, Inc</v>
      </c>
      <c r="C6" s="24" t="str">
        <f ca="1">IFERROR(__xludf.DUMMYFUNCTION("""COMPUTED_VALUE"""),"831851113")</f>
        <v>831851113</v>
      </c>
      <c r="D6" s="25" t="str">
        <f ca="1">IFERROR(__xludf.DUMMYFUNCTION("""COMPUTED_VALUE"""),"1530 Wilson Boulevard # 340
Arlington, VA, 22209-2447")</f>
        <v>1530 Wilson Boulevard # 340
Arlington, VA, 22209-2447</v>
      </c>
      <c r="E6" s="26" t="str">
        <f ca="1">IFERROR(__xludf.DUMMYFUNCTION("""COMPUTED_VALUE"""),"HCaTS@changeis.com")</f>
        <v>HCaTS@changeis.com</v>
      </c>
      <c r="F6" s="26" t="str">
        <f ca="1">IFERROR(__xludf.DUMMYFUNCTION("""COMPUTED_VALUE"""),"Varun Malhotra")</f>
        <v>Varun Malhotra</v>
      </c>
      <c r="G6" s="26" t="str">
        <f ca="1">IFERROR(__xludf.DUMMYFUNCTION("""COMPUTED_VALUE"""),"varun@changeis.com")</f>
        <v>varun@changeis.com</v>
      </c>
      <c r="H6" s="26" t="str">
        <f ca="1">IFERROR(__xludf.DUMMYFUNCTION("""COMPUTED_VALUE"""),"703-348-9669, ext. 101")</f>
        <v>703-348-9669, ext. 101</v>
      </c>
      <c r="I6" s="26" t="str">
        <f ca="1">IFERROR(__xludf.DUMMYFUNCTION("""COMPUTED_VALUE"""),"Alba Howes")</f>
        <v>Alba Howes</v>
      </c>
      <c r="J6" s="26" t="str">
        <f ca="1">IFERROR(__xludf.DUMMYFUNCTION("""COMPUTED_VALUE"""),"alba.howes@changeis.com")</f>
        <v>alba.howes@changeis.com</v>
      </c>
      <c r="K6" s="26" t="str">
        <f ca="1">IFERROR(__xludf.DUMMYFUNCTION("""COMPUTED_VALUE"""),"(703) 348-9669, ext. 257")</f>
        <v>(703) 348-9669, ext. 257</v>
      </c>
    </row>
    <row r="7" spans="1:11" ht="30.75" customHeight="1" x14ac:dyDescent="0.25">
      <c r="A7" s="22" t="str">
        <f ca="1">IFERROR(__xludf.DUMMYFUNCTION("""COMPUTED_VALUE"""),"47QREB21D0023")</f>
        <v>47QREB21D0023</v>
      </c>
      <c r="B7" s="23" t="str">
        <f ca="1">IFERROR(__xludf.DUMMYFUNCTION("""COMPUTED_VALUE"""),"Chickasaw Aerospace, LLC")</f>
        <v>Chickasaw Aerospace, LLC</v>
      </c>
      <c r="C7" s="24" t="str">
        <f ca="1">IFERROR(__xludf.DUMMYFUNCTION("""COMPUTED_VALUE"""),"080160156")</f>
        <v>080160156</v>
      </c>
      <c r="D7" s="25" t="str">
        <f ca="1">IFERROR(__xludf.DUMMYFUNCTION("""COMPUTED_VALUE"""),"2600 John Saxon Blvd Ste 2222 
Norman, OK, 73071-1166")</f>
        <v>2600 John Saxon Blvd Ste 2222 
Norman, OK, 73071-1166</v>
      </c>
      <c r="E7" s="26" t="str">
        <f ca="1">IFERROR(__xludf.DUMMYFUNCTION("""COMPUTED_VALUE"""),"CNIHCATS-8a@chickasaw.com")</f>
        <v>CNIHCATS-8a@chickasaw.com</v>
      </c>
      <c r="F7" s="26" t="str">
        <f ca="1">IFERROR(__xludf.DUMMYFUNCTION("""COMPUTED_VALUE"""),"Amy Folsom")</f>
        <v>Amy Folsom</v>
      </c>
      <c r="G7" s="26" t="str">
        <f ca="1">IFERROR(__xludf.DUMMYFUNCTION("""COMPUTED_VALUE"""),"Amy.Folsom@chickasaw.com")</f>
        <v>Amy.Folsom@chickasaw.com</v>
      </c>
      <c r="H7" s="26" t="str">
        <f ca="1">IFERROR(__xludf.DUMMYFUNCTION("""COMPUTED_VALUE"""),"405-253-8209")</f>
        <v>405-253-8209</v>
      </c>
      <c r="I7" s="26" t="str">
        <f ca="1">IFERROR(__xludf.DUMMYFUNCTION("""COMPUTED_VALUE"""),"Kari Pyszko")</f>
        <v>Kari Pyszko</v>
      </c>
      <c r="J7" s="26" t="str">
        <f ca="1">IFERROR(__xludf.DUMMYFUNCTION("""COMPUTED_VALUE"""),"Kari.Pyszko@chickasaw.com")</f>
        <v>Kari.Pyszko@chickasaw.com</v>
      </c>
      <c r="K7" s="26" t="str">
        <f ca="1">IFERROR(__xludf.DUMMYFUNCTION("""COMPUTED_VALUE"""),"405-253-8280")</f>
        <v>405-253-8280</v>
      </c>
    </row>
    <row r="8" spans="1:11" ht="30.75" customHeight="1" x14ac:dyDescent="0.25">
      <c r="A8" s="22" t="str">
        <f ca="1">IFERROR(__xludf.DUMMYFUNCTION("""COMPUTED_VALUE"""),"47QREB21D0024")</f>
        <v>47QREB21D0024</v>
      </c>
      <c r="B8" s="23" t="str">
        <f ca="1">IFERROR(__xludf.DUMMYFUNCTION("""COMPUTED_VALUE"""),"Cirrus Federal Solutions, LLC")</f>
        <v>Cirrus Federal Solutions, LLC</v>
      </c>
      <c r="C8" s="24" t="str">
        <f ca="1">IFERROR(__xludf.DUMMYFUNCTION("""COMPUTED_VALUE"""),"117380389")</f>
        <v>117380389</v>
      </c>
      <c r="D8" s="25" t="str">
        <f ca="1">IFERROR(__xludf.DUMMYFUNCTION("""COMPUTED_VALUE"""),"3463 Magic Dr Apt 303
San Antonio, TX, 78229-2974")</f>
        <v>3463 Magic Dr Apt 303
San Antonio, TX, 78229-2974</v>
      </c>
      <c r="E8" s="26" t="str">
        <f ca="1">IFERROR(__xludf.DUMMYFUNCTION("""COMPUTED_VALUE"""),"cirrusjv@bestica.com")</f>
        <v>cirrusjv@bestica.com</v>
      </c>
      <c r="F8" s="26" t="str">
        <f ca="1">IFERROR(__xludf.DUMMYFUNCTION("""COMPUTED_VALUE"""),"James Cox")</f>
        <v>James Cox</v>
      </c>
      <c r="G8" s="26" t="str">
        <f ca="1">IFERROR(__xludf.DUMMYFUNCTION("""COMPUTED_VALUE"""),"jim@bestica.com")</f>
        <v>jim@bestica.com</v>
      </c>
      <c r="H8" s="26" t="str">
        <f ca="1">IFERROR(__xludf.DUMMYFUNCTION("""COMPUTED_VALUE"""),"301-639-9320")</f>
        <v>301-639-9320</v>
      </c>
      <c r="I8" s="26" t="str">
        <f ca="1">IFERROR(__xludf.DUMMYFUNCTION("""COMPUTED_VALUE"""),"John L. Pope")</f>
        <v>John L. Pope</v>
      </c>
      <c r="J8" s="26" t="str">
        <f ca="1">IFERROR(__xludf.DUMMYFUNCTION("""COMPUTED_VALUE"""),"john.pope@decypher.com")</f>
        <v>john.pope@decypher.com</v>
      </c>
      <c r="K8" s="26" t="str">
        <f ca="1">IFERROR(__xludf.DUMMYFUNCTION("""COMPUTED_VALUE"""),"210-307-6645")</f>
        <v>210-307-6645</v>
      </c>
    </row>
    <row r="9" spans="1:11" ht="30.75" customHeight="1" x14ac:dyDescent="0.25">
      <c r="A9" s="22" t="str">
        <f ca="1">IFERROR(__xludf.DUMMYFUNCTION("""COMPUTED_VALUE"""),"47QREB21D0025")</f>
        <v>47QREB21D0025</v>
      </c>
      <c r="B9" s="23" t="str">
        <f ca="1">IFERROR(__xludf.DUMMYFUNCTION("""COMPUTED_VALUE"""),"Credence Dynamo Solutions, LLC")</f>
        <v>Credence Dynamo Solutions, LLC</v>
      </c>
      <c r="C9" s="24" t="str">
        <f ca="1">IFERROR(__xludf.DUMMYFUNCTION("""COMPUTED_VALUE"""),"117058791")</f>
        <v>117058791</v>
      </c>
      <c r="D9" s="25" t="str">
        <f ca="1">IFERROR(__xludf.DUMMYFUNCTION("""COMPUTED_VALUE"""),"1951 Kidwell Dr Ste 550 
Vienna, VA, 22182-3984")</f>
        <v>1951 Kidwell Dr Ste 550 
Vienna, VA, 22182-3984</v>
      </c>
      <c r="E9" s="26" t="str">
        <f ca="1">IFERROR(__xludf.DUMMYFUNCTION("""COMPUTED_VALUE"""),"hcats@credencedynamosolutions.com")</f>
        <v>hcats@credencedynamosolutions.com</v>
      </c>
      <c r="F9" s="26" t="str">
        <f ca="1">IFERROR(__xludf.DUMMYFUNCTION("""COMPUTED_VALUE"""),"Chris Sheng")</f>
        <v>Chris Sheng</v>
      </c>
      <c r="G9" s="26" t="str">
        <f ca="1">IFERROR(__xludf.DUMMYFUNCTION("""COMPUTED_VALUE"""),"chris.sheng@dynamo.works")</f>
        <v>chris.sheng@dynamo.works</v>
      </c>
      <c r="H9" s="26" t="str">
        <f ca="1">IFERROR(__xludf.DUMMYFUNCTION("""COMPUTED_VALUE"""),"215-692-2298")</f>
        <v>215-692-2298</v>
      </c>
      <c r="I9" s="26" t="str">
        <f ca="1">IFERROR(__xludf.DUMMYFUNCTION("""COMPUTED_VALUE"""),"Kristen Walker")</f>
        <v>Kristen Walker</v>
      </c>
      <c r="J9" s="26" t="str">
        <f ca="1">IFERROR(__xludf.DUMMYFUNCTION("""COMPUTED_VALUE"""),"kristen.walker@dynamo.works")</f>
        <v>kristen.walker@dynamo.works</v>
      </c>
      <c r="K9" s="26" t="str">
        <f ca="1">IFERROR(__xludf.DUMMYFUNCTION("""COMPUTED_VALUE"""),"5712300961")</f>
        <v>5712300961</v>
      </c>
    </row>
    <row r="10" spans="1:11" ht="30.75" customHeight="1" x14ac:dyDescent="0.25">
      <c r="A10" s="22" t="str">
        <f ca="1">IFERROR(__xludf.DUMMYFUNCTION("""COMPUTED_VALUE"""),"47QREB21D0026")</f>
        <v>47QREB21D0026</v>
      </c>
      <c r="B10" s="23" t="str">
        <f ca="1">IFERROR(__xludf.DUMMYFUNCTION("""COMPUTED_VALUE"""),"Dynamic Planning &amp; Response, LLC")</f>
        <v>Dynamic Planning &amp; Response, LLC</v>
      </c>
      <c r="C10" s="24" t="str">
        <f ca="1">IFERROR(__xludf.DUMMYFUNCTION("""COMPUTED_VALUE"""),"969180814")</f>
        <v>969180814</v>
      </c>
      <c r="D10" s="25" t="str">
        <f ca="1">IFERROR(__xludf.DUMMYFUNCTION("""COMPUTED_VALUE"""),"820 W Hind Dr Ste 1293
Honolulu, HI, 96821-1851")</f>
        <v>820 W Hind Dr Ste 1293
Honolulu, HI, 96821-1851</v>
      </c>
      <c r="E10" s="26" t="str">
        <f ca="1">IFERROR(__xludf.DUMMYFUNCTION("""COMPUTED_VALUE"""),"admin@dynapnr.com")</f>
        <v>admin@dynapnr.com</v>
      </c>
      <c r="F10" s="26" t="str">
        <f ca="1">IFERROR(__xludf.DUMMYFUNCTION("""COMPUTED_VALUE"""),"Chelsea Chae")</f>
        <v>Chelsea Chae</v>
      </c>
      <c r="G10" s="26" t="str">
        <f ca="1">IFERROR(__xludf.DUMMYFUNCTION("""COMPUTED_VALUE"""),"cchae@dynapnr.com")</f>
        <v>cchae@dynapnr.com</v>
      </c>
      <c r="H10" s="26" t="str">
        <f ca="1">IFERROR(__xludf.DUMMYFUNCTION("""COMPUTED_VALUE"""),"808-722-5940")</f>
        <v>808-722-5940</v>
      </c>
      <c r="I10" s="26" t="str">
        <f ca="1">IFERROR(__xludf.DUMMYFUNCTION("""COMPUTED_VALUE"""),"Joy Miyamasu")</f>
        <v>Joy Miyamasu</v>
      </c>
      <c r="J10" s="26" t="str">
        <f ca="1">IFERROR(__xludf.DUMMYFUNCTION("""COMPUTED_VALUE"""),"joy@dynapnr.com")</f>
        <v>joy@dynapnr.com</v>
      </c>
      <c r="K10" s="26" t="str">
        <f ca="1">IFERROR(__xludf.DUMMYFUNCTION("""COMPUTED_VALUE"""),"847-508-1139")</f>
        <v>847-508-1139</v>
      </c>
    </row>
    <row r="11" spans="1:11" ht="30.75" customHeight="1" x14ac:dyDescent="0.25">
      <c r="A11" s="22" t="str">
        <f ca="1">IFERROR(__xludf.DUMMYFUNCTION("""COMPUTED_VALUE"""),"47QREB21D0027")</f>
        <v>47QREB21D0027</v>
      </c>
      <c r="B11" s="23" t="str">
        <f ca="1">IFERROR(__xludf.DUMMYFUNCTION("""COMPUTED_VALUE"""),"Insignia Federal Group, LLC")</f>
        <v>Insignia Federal Group, LLC</v>
      </c>
      <c r="C11" s="24" t="str">
        <f ca="1">IFERROR(__xludf.DUMMYFUNCTION("""COMPUTED_VALUE"""),"962538133")</f>
        <v>962538133</v>
      </c>
      <c r="D11" s="25" t="str">
        <f ca="1">IFERROR(__xludf.DUMMYFUNCTION("""COMPUTED_VALUE"""),"1751 Pinnacle Drive, Suite 600, McLean VA 22102")</f>
        <v>1751 Pinnacle Drive, Suite 600, McLean VA 22102</v>
      </c>
      <c r="E11" s="26" t="str">
        <f ca="1">IFERROR(__xludf.DUMMYFUNCTION("""COMPUTED_VALUE"""),"HCaTs-8a@insigniafederal.com")</f>
        <v>HCaTs-8a@insigniafederal.com</v>
      </c>
      <c r="F11" s="26" t="str">
        <f ca="1">IFERROR(__xludf.DUMMYFUNCTION("""COMPUTED_VALUE"""),"Debbie Bowles")</f>
        <v>Debbie Bowles</v>
      </c>
      <c r="G11" s="26" t="str">
        <f ca="1">IFERROR(__xludf.DUMMYFUNCTION("""COMPUTED_VALUE"""),"debbie_bowles@insigniafederal.com")</f>
        <v>debbie_bowles@insigniafederal.com</v>
      </c>
      <c r="H11" s="26" t="str">
        <f ca="1">IFERROR(__xludf.DUMMYFUNCTION("""COMPUTED_VALUE"""),"703-831-4057")</f>
        <v>703-831-4057</v>
      </c>
      <c r="I11" s="26" t="str">
        <f ca="1">IFERROR(__xludf.DUMMYFUNCTION("""COMPUTED_VALUE"""),"Karen Lee")</f>
        <v>Karen Lee</v>
      </c>
      <c r="J11" s="26" t="str">
        <f ca="1">IFERROR(__xludf.DUMMYFUNCTION("""COMPUTED_VALUE"""),"karen_lee@insigniafederal.com")</f>
        <v>karen_lee@insigniafederal.com</v>
      </c>
      <c r="K11" s="26" t="str">
        <f ca="1">IFERROR(__xludf.DUMMYFUNCTION("""COMPUTED_VALUE"""),"703-945-1830")</f>
        <v>703-945-1830</v>
      </c>
    </row>
    <row r="12" spans="1:11" ht="30.75" customHeight="1" x14ac:dyDescent="0.25">
      <c r="A12" s="22" t="str">
        <f ca="1">IFERROR(__xludf.DUMMYFUNCTION("""COMPUTED_VALUE"""),"47QREB21D0028")</f>
        <v>47QREB21D0028</v>
      </c>
      <c r="B12" s="23" t="str">
        <f ca="1">IFERROR(__xludf.DUMMYFUNCTION("""COMPUTED_VALUE"""),"IT Concepts, Inc")</f>
        <v>IT Concepts, Inc</v>
      </c>
      <c r="C12" s="24" t="str">
        <f ca="1">IFERROR(__xludf.DUMMYFUNCTION("""COMPUTED_VALUE"""),"968872213")</f>
        <v>968872213</v>
      </c>
      <c r="D12" s="25" t="str">
        <f ca="1">IFERROR(__xludf.DUMMYFUNCTION("""COMPUTED_VALUE"""),"1600 SPRING HILL RD STE 305 
VIENNA, VA, 22182-2229")</f>
        <v>1600 SPRING HILL RD STE 305 
VIENNA, VA, 22182-2229</v>
      </c>
      <c r="E12" s="26" t="str">
        <f ca="1">IFERROR(__xludf.DUMMYFUNCTION("""COMPUTED_VALUE"""),"GSA_HCaTS@useitc.com")</f>
        <v>GSA_HCaTS@useitc.com</v>
      </c>
      <c r="F12" s="26" t="str">
        <f ca="1">IFERROR(__xludf.DUMMYFUNCTION("""COMPUTED_VALUE"""),"Amanda Carney")</f>
        <v>Amanda Carney</v>
      </c>
      <c r="G12" s="26" t="str">
        <f ca="1">IFERROR(__xludf.DUMMYFUNCTION("""COMPUTED_VALUE"""),"amanda.carney@useitc.com")</f>
        <v>amanda.carney@useitc.com</v>
      </c>
      <c r="H12" s="26" t="str">
        <f ca="1">IFERROR(__xludf.DUMMYFUNCTION("""COMPUTED_VALUE"""),"541-554-7315")</f>
        <v>541-554-7315</v>
      </c>
      <c r="I12" s="26" t="str">
        <f ca="1">IFERROR(__xludf.DUMMYFUNCTION("""COMPUTED_VALUE"""),"Tracie Cook")</f>
        <v>Tracie Cook</v>
      </c>
      <c r="J12" s="26" t="str">
        <f ca="1">IFERROR(__xludf.DUMMYFUNCTION("""COMPUTED_VALUE"""),"contracts@useitc.com")</f>
        <v>contracts@useitc.com</v>
      </c>
      <c r="K12" s="26" t="str">
        <f ca="1">IFERROR(__xludf.DUMMYFUNCTION("""COMPUTED_VALUE"""),"5719189983")</f>
        <v>5719189983</v>
      </c>
    </row>
    <row r="13" spans="1:11" ht="30.75" customHeight="1" x14ac:dyDescent="0.25">
      <c r="A13" s="22" t="str">
        <f ca="1">IFERROR(__xludf.DUMMYFUNCTION("""COMPUTED_VALUE"""),"47QREB21D0029")</f>
        <v>47QREB21D0029</v>
      </c>
      <c r="B13" s="23" t="str">
        <f ca="1">IFERROR(__xludf.DUMMYFUNCTION("""COMPUTED_VALUE"""),"Kaptivate, LLC")</f>
        <v>Kaptivate, LLC</v>
      </c>
      <c r="C13" s="24" t="str">
        <f ca="1">IFERROR(__xludf.DUMMYFUNCTION("""COMPUTED_VALUE"""),"832872639")</f>
        <v>832872639</v>
      </c>
      <c r="D13" s="25" t="str">
        <f ca="1">IFERROR(__xludf.DUMMYFUNCTION("""COMPUTED_VALUE"""),"516 N WASHINGTON ST
ALEXANDRIA, VA, 22314-2314")</f>
        <v>516 N WASHINGTON ST
ALEXANDRIA, VA, 22314-2314</v>
      </c>
      <c r="E13" s="26" t="str">
        <f ca="1">IFERROR(__xludf.DUMMYFUNCTION("""COMPUTED_VALUE"""),"HCaTS8a@kaptivategroup.com")</f>
        <v>HCaTS8a@kaptivategroup.com</v>
      </c>
      <c r="F13" s="26" t="str">
        <f ca="1">IFERROR(__xludf.DUMMYFUNCTION("""COMPUTED_VALUE"""),"Otto Orantes")</f>
        <v>Otto Orantes</v>
      </c>
      <c r="G13" s="26" t="str">
        <f ca="1">IFERROR(__xludf.DUMMYFUNCTION("""COMPUTED_VALUE"""),"oorantes@kaptivategroup.com")</f>
        <v>oorantes@kaptivategroup.com</v>
      </c>
      <c r="H13" s="26" t="str">
        <f ca="1">IFERROR(__xludf.DUMMYFUNCTION("""COMPUTED_VALUE"""),"202-607-4964 or 888-527-8488 x701")</f>
        <v>202-607-4964 or 888-527-8488 x701</v>
      </c>
      <c r="I13" s="26" t="str">
        <f ca="1">IFERROR(__xludf.DUMMYFUNCTION("""COMPUTED_VALUE"""),"Scott N. Harmon")</f>
        <v>Scott N. Harmon</v>
      </c>
      <c r="J13" s="26" t="str">
        <f ca="1">IFERROR(__xludf.DUMMYFUNCTION("""COMPUTED_VALUE"""),"sharmon@kaptivategroup.com")</f>
        <v>sharmon@kaptivategroup.com</v>
      </c>
      <c r="K13" s="26" t="str">
        <f ca="1">IFERROR(__xludf.DUMMYFUNCTION("""COMPUTED_VALUE"""),"888.527.8488 x702")</f>
        <v>888.527.8488 x702</v>
      </c>
    </row>
    <row r="14" spans="1:11" ht="30.75" customHeight="1" x14ac:dyDescent="0.25">
      <c r="A14" s="22" t="str">
        <f ca="1">IFERROR(__xludf.DUMMYFUNCTION("""COMPUTED_VALUE"""),"47QREB21D0030")</f>
        <v>47QREB21D0030</v>
      </c>
      <c r="B14" s="23" t="str">
        <f ca="1">IFERROR(__xludf.DUMMYFUNCTION("""COMPUTED_VALUE"""),"Oban Corporation")</f>
        <v>Oban Corporation</v>
      </c>
      <c r="C14" s="24" t="str">
        <f ca="1">IFERROR(__xludf.DUMMYFUNCTION("""COMPUTED_VALUE"""),"809638765")</f>
        <v>809638765</v>
      </c>
      <c r="D14" s="25" t="str">
        <f ca="1">IFERROR(__xludf.DUMMYFUNCTION("""COMPUTED_VALUE"""),"8300 Boone Blvd., Suite 500, Vienna, VA 22182   ")</f>
        <v xml:space="preserve">8300 Boone Blvd., Suite 500, Vienna, VA 22182   </v>
      </c>
      <c r="E14" s="26" t="str">
        <f ca="1">IFERROR(__xludf.DUMMYFUNCTION("""COMPUTED_VALUE"""),"hcats@oban-corp.com")</f>
        <v>hcats@oban-corp.com</v>
      </c>
      <c r="F14" s="26" t="str">
        <f ca="1">IFERROR(__xludf.DUMMYFUNCTION("""COMPUTED_VALUE"""),"Ron Irondi")</f>
        <v>Ron Irondi</v>
      </c>
      <c r="G14" s="26" t="str">
        <f ca="1">IFERROR(__xludf.DUMMYFUNCTION("""COMPUTED_VALUE"""),"rirondi@oban-corp.com")</f>
        <v>rirondi@oban-corp.com</v>
      </c>
      <c r="H14" s="26" t="str">
        <f ca="1">IFERROR(__xludf.DUMMYFUNCTION("""COMPUTED_VALUE"""),"202-999-9395")</f>
        <v>202-999-9395</v>
      </c>
      <c r="I14" s="26" t="str">
        <f ca="1">IFERROR(__xludf.DUMMYFUNCTION("""COMPUTED_VALUE"""),"Ngozi Azubike")</f>
        <v>Ngozi Azubike</v>
      </c>
      <c r="J14" s="26" t="str">
        <f ca="1">IFERROR(__xludf.DUMMYFUNCTION("""COMPUTED_VALUE"""),"nazubike@oban-corp.com")</f>
        <v>nazubike@oban-corp.com</v>
      </c>
      <c r="K14" s="26" t="str">
        <f ca="1">IFERROR(__xludf.DUMMYFUNCTION("""COMPUTED_VALUE"""),"202-841-3459")</f>
        <v>202-841-3459</v>
      </c>
    </row>
    <row r="15" spans="1:11" ht="30.75" customHeight="1" x14ac:dyDescent="0.25">
      <c r="A15" s="22" t="str">
        <f ca="1">IFERROR(__xludf.DUMMYFUNCTION("""COMPUTED_VALUE"""),"47QREB21D0031")</f>
        <v>47QREB21D0031</v>
      </c>
      <c r="B15" s="23" t="str">
        <f ca="1">IFERROR(__xludf.DUMMYFUNCTION("""COMPUTED_VALUE"""),"Ortiz Group, LLC, The")</f>
        <v>Ortiz Group, LLC, The</v>
      </c>
      <c r="C15" s="24" t="str">
        <f ca="1">IFERROR(__xludf.DUMMYFUNCTION("""COMPUTED_VALUE"""),"079727416")</f>
        <v>079727416</v>
      </c>
      <c r="D15" s="25" t="str">
        <f ca="1">IFERROR(__xludf.DUMMYFUNCTION("""COMPUTED_VALUE"""),"984 Autumn Oak Cir 
Concord, CA, 94521-5440")</f>
        <v>984 Autumn Oak Cir 
Concord, CA, 94521-5440</v>
      </c>
      <c r="E15" s="26" t="str">
        <f ca="1">IFERROR(__xludf.DUMMYFUNCTION("""COMPUTED_VALUE"""),"HCaTS@ortiz-group.com")</f>
        <v>HCaTS@ortiz-group.com</v>
      </c>
      <c r="F15" s="26" t="str">
        <f ca="1">IFERROR(__xludf.DUMMYFUNCTION("""COMPUTED_VALUE"""),"David Ortiz")</f>
        <v>David Ortiz</v>
      </c>
      <c r="G15" s="26" t="str">
        <f ca="1">IFERROR(__xludf.DUMMYFUNCTION("""COMPUTED_VALUE"""),"Dortiz@ortiz-group.com")</f>
        <v>Dortiz@ortiz-group.com</v>
      </c>
      <c r="H15" s="26" t="str">
        <f ca="1">IFERROR(__xludf.DUMMYFUNCTION("""COMPUTED_VALUE"""),"703-338-6893")</f>
        <v>703-338-6893</v>
      </c>
      <c r="I15" s="26" t="str">
        <f ca="1">IFERROR(__xludf.DUMMYFUNCTION("""COMPUTED_VALUE"""),"Belinda Haener")</f>
        <v>Belinda Haener</v>
      </c>
      <c r="J15" s="26" t="str">
        <f ca="1">IFERROR(__xludf.DUMMYFUNCTION("""COMPUTED_VALUE"""),"bhaener@ortiz-group.com")</f>
        <v>bhaener@ortiz-group.com</v>
      </c>
      <c r="K15" s="26" t="str">
        <f ca="1">IFERROR(__xludf.DUMMYFUNCTION("""COMPUTED_VALUE""")," 925-414-0760")</f>
        <v xml:space="preserve"> 925-414-0760</v>
      </c>
    </row>
    <row r="16" spans="1:11" ht="30.75" customHeight="1" x14ac:dyDescent="0.25">
      <c r="A16" s="22" t="str">
        <f ca="1">IFERROR(__xludf.DUMMYFUNCTION("""COMPUTED_VALUE"""),"47QREB21D0032")</f>
        <v>47QREB21D0032</v>
      </c>
      <c r="B16" s="23" t="str">
        <f ca="1">IFERROR(__xludf.DUMMYFUNCTION("""COMPUTED_VALUE"""),"Potawatomi Training LLC")</f>
        <v>Potawatomi Training LLC</v>
      </c>
      <c r="C16" s="24" t="str">
        <f ca="1">IFERROR(__xludf.DUMMYFUNCTION("""COMPUTED_VALUE"""),"800119534")</f>
        <v>800119534</v>
      </c>
      <c r="D16" s="25" t="str">
        <f ca="1">IFERROR(__xludf.DUMMYFUNCTION("""COMPUTED_VALUE"""),"3215 W. State Street Suite 309D
Milwaukee, WI, 53208-3364")</f>
        <v>3215 W. State Street Suite 309D
Milwaukee, WI, 53208-3364</v>
      </c>
      <c r="E16" s="26" t="str">
        <f ca="1">IFERROR(__xludf.DUMMYFUNCTION("""COMPUTED_VALUE"""),"hcats@potawatomitr.com")</f>
        <v>hcats@potawatomitr.com</v>
      </c>
      <c r="F16" s="26" t="str">
        <f ca="1">IFERROR(__xludf.DUMMYFUNCTION("""COMPUTED_VALUE"""),"Dawn Calandra")</f>
        <v>Dawn Calandra</v>
      </c>
      <c r="G16" s="26" t="str">
        <f ca="1">IFERROR(__xludf.DUMMYFUNCTION("""COMPUTED_VALUE"""),"dawn.calandra@potawatomitr.com")</f>
        <v>dawn.calandra@potawatomitr.com</v>
      </c>
      <c r="H16" s="26" t="str">
        <f ca="1">IFERROR(__xludf.DUMMYFUNCTION("""COMPUTED_VALUE"""),"(513) 490-1108 ")</f>
        <v xml:space="preserve">(513) 490-1108 </v>
      </c>
      <c r="I16" s="26" t="str">
        <f ca="1">IFERROR(__xludf.DUMMYFUNCTION("""COMPUTED_VALUE"""),"Rick Sowell")</f>
        <v>Rick Sowell</v>
      </c>
      <c r="J16" s="26" t="str">
        <f ca="1">IFERROR(__xludf.DUMMYFUNCTION("""COMPUTED_VALUE"""),"rick.sowell@potawatomitr.com")</f>
        <v>rick.sowell@potawatomitr.com</v>
      </c>
      <c r="K16" s="26" t="str">
        <f ca="1">IFERROR(__xludf.DUMMYFUNCTION("""COMPUTED_VALUE"""),"(757) 766-3388")</f>
        <v>(757) 766-3388</v>
      </c>
    </row>
    <row r="17" spans="1:11" ht="30.75" customHeight="1" x14ac:dyDescent="0.25">
      <c r="A17" s="22" t="str">
        <f ca="1">IFERROR(__xludf.DUMMYFUNCTION("""COMPUTED_VALUE"""),"47QREB21D0033")</f>
        <v>47QREB21D0033</v>
      </c>
      <c r="B17" s="23" t="str">
        <f ca="1">IFERROR(__xludf.DUMMYFUNCTION("""COMPUTED_VALUE"""),"Precise Federal Consulting, LLC")</f>
        <v>Precise Federal Consulting, LLC</v>
      </c>
      <c r="C17" s="24" t="str">
        <f ca="1">IFERROR(__xludf.DUMMYFUNCTION("""COMPUTED_VALUE"""),"117065943")</f>
        <v>117065943</v>
      </c>
      <c r="D17" s="25" t="str">
        <f ca="1">IFERROR(__xludf.DUMMYFUNCTION("""COMPUTED_VALUE"""),"7701 Greenbelt Rd Ste 501 
Greenbelt, MD, 20770-6523")</f>
        <v>7701 Greenbelt Rd Ste 501 
Greenbelt, MD, 20770-6523</v>
      </c>
      <c r="E17" s="26" t="str">
        <f ca="1">IFERROR(__xludf.DUMMYFUNCTION("""COMPUTED_VALUE"""),"HCaTS@precisefederal.com")</f>
        <v>HCaTS@precisefederal.com</v>
      </c>
      <c r="F17" s="26" t="str">
        <f ca="1">IFERROR(__xludf.DUMMYFUNCTION("""COMPUTED_VALUE"""),"Jyothi R Bhargava")</f>
        <v>Jyothi R Bhargava</v>
      </c>
      <c r="G17" s="26" t="str">
        <f ca="1">IFERROR(__xludf.DUMMYFUNCTION("""COMPUTED_VALUE"""),"jbhargava@precisefederal.com")</f>
        <v>jbhargava@precisefederal.com</v>
      </c>
      <c r="H17" s="26" t="str">
        <f ca="1">IFERROR(__xludf.DUMMYFUNCTION("""COMPUTED_VALUE"""),"301-580-4924")</f>
        <v>301-580-4924</v>
      </c>
      <c r="I17" s="26" t="str">
        <f ca="1">IFERROR(__xludf.DUMMYFUNCTION("""COMPUTED_VALUE"""),"Sandesh Sharda")</f>
        <v>Sandesh Sharda</v>
      </c>
      <c r="J17" s="26" t="str">
        <f ca="1">IFERROR(__xludf.DUMMYFUNCTION("""COMPUTED_VALUE"""),"ssharda@precisefederal.com")</f>
        <v>ssharda@precisefederal.com</v>
      </c>
      <c r="K17" s="26" t="str">
        <f ca="1">IFERROR(__xludf.DUMMYFUNCTION("""COMPUTED_VALUE"""),"5713311355")</f>
        <v>5713311355</v>
      </c>
    </row>
    <row r="18" spans="1:11" ht="30.75" customHeight="1" x14ac:dyDescent="0.25">
      <c r="A18" s="22" t="str">
        <f ca="1">IFERROR(__xludf.DUMMYFUNCTION("""COMPUTED_VALUE"""),"47QREB21D0034")</f>
        <v>47QREB21D0034</v>
      </c>
      <c r="B18" s="23" t="str">
        <f ca="1">IFERROR(__xludf.DUMMYFUNCTION("""COMPUTED_VALUE"""),"PTG International, Inc")</f>
        <v>PTG International, Inc</v>
      </c>
      <c r="C18" s="24" t="str">
        <f ca="1">IFERROR(__xludf.DUMMYFUNCTION("""COMPUTED_VALUE"""),"838192433")</f>
        <v>838192433</v>
      </c>
      <c r="D18" s="25" t="str">
        <f ca="1">IFERROR(__xludf.DUMMYFUNCTION("""COMPUTED_VALUE"""),"13227 Executive Park Ter 
Germantown, MD, 20874-2648")</f>
        <v>13227 Executive Park Ter 
Germantown, MD, 20874-2648</v>
      </c>
      <c r="E18" s="26" t="str">
        <f ca="1">IFERROR(__xludf.DUMMYFUNCTION("""COMPUTED_VALUE"""),"hcats@ptg-intl.com")</f>
        <v>hcats@ptg-intl.com</v>
      </c>
      <c r="F18" s="26" t="str">
        <f ca="1">IFERROR(__xludf.DUMMYFUNCTION("""COMPUTED_VALUE"""),"David Hauge")</f>
        <v>David Hauge</v>
      </c>
      <c r="G18" s="26" t="str">
        <f ca="1">IFERROR(__xludf.DUMMYFUNCTION("""COMPUTED_VALUE"""),"dhauge@ptg-intl.com")</f>
        <v>dhauge@ptg-intl.com</v>
      </c>
      <c r="H18" s="26" t="str">
        <f ca="1">IFERROR(__xludf.DUMMYFUNCTION("""COMPUTED_VALUE"""),"301-775-2441")</f>
        <v>301-775-2441</v>
      </c>
      <c r="I18" s="26" t="str">
        <f ca="1">IFERROR(__xludf.DUMMYFUNCTION("""COMPUTED_VALUE"""),"Eugene de Ribeaux")</f>
        <v>Eugene de Ribeaux</v>
      </c>
      <c r="J18" s="26" t="str">
        <f ca="1">IFERROR(__xludf.DUMMYFUNCTION("""COMPUTED_VALUE"""),"deribeauxe@ptg-intl.com")</f>
        <v>deribeauxe@ptg-intl.com</v>
      </c>
      <c r="K18" s="26" t="str">
        <f ca="1">IFERROR(__xludf.DUMMYFUNCTION("""COMPUTED_VALUE"""),"2404498482")</f>
        <v>2404498482</v>
      </c>
    </row>
    <row r="19" spans="1:11" ht="30.75" customHeight="1" x14ac:dyDescent="0.25">
      <c r="A19" s="22" t="str">
        <f ca="1">IFERROR(__xludf.DUMMYFUNCTION("""COMPUTED_VALUE"""),"47QREB21D0035")</f>
        <v>47QREB21D0035</v>
      </c>
      <c r="B19" s="23" t="str">
        <f ca="1">IFERROR(__xludf.DUMMYFUNCTION("""COMPUTED_VALUE"""),"Radian Solutions, LLC")</f>
        <v>Radian Solutions, LLC</v>
      </c>
      <c r="C19" s="24" t="str">
        <f ca="1">IFERROR(__xludf.DUMMYFUNCTION("""COMPUTED_VALUE"""),"795462626")</f>
        <v>795462626</v>
      </c>
      <c r="D19" s="25" t="str">
        <f ca="1">IFERROR(__xludf.DUMMYFUNCTION("""COMPUTED_VALUE"""),"717 K St Ste 403 
Sacramento, CA, 95814-3408")</f>
        <v>717 K St Ste 403 
Sacramento, CA, 95814-3408</v>
      </c>
      <c r="E19" s="26" t="str">
        <f ca="1">IFERROR(__xludf.DUMMYFUNCTION("""COMPUTED_VALUE"""),"HCaTS@RadianSolutions.com")</f>
        <v>HCaTS@RadianSolutions.com</v>
      </c>
      <c r="F19" s="26" t="str">
        <f ca="1">IFERROR(__xludf.DUMMYFUNCTION("""COMPUTED_VALUE"""),"Niranjan Hiras")</f>
        <v>Niranjan Hiras</v>
      </c>
      <c r="G19" s="26" t="str">
        <f ca="1">IFERROR(__xludf.DUMMYFUNCTION("""COMPUTED_VALUE"""),"Niranjan@RadianSolutions.com")</f>
        <v>Niranjan@RadianSolutions.com</v>
      </c>
      <c r="H19" s="26" t="str">
        <f ca="1">IFERROR(__xludf.DUMMYFUNCTION("""COMPUTED_VALUE"""),"240-972-3426 x 101")</f>
        <v>240-972-3426 x 101</v>
      </c>
      <c r="I19" s="26" t="str">
        <f ca="1">IFERROR(__xludf.DUMMYFUNCTION("""COMPUTED_VALUE"""),"Josh Koshy")</f>
        <v>Josh Koshy</v>
      </c>
      <c r="J19" s="26" t="str">
        <f ca="1">IFERROR(__xludf.DUMMYFUNCTION("""COMPUTED_VALUE"""),"Josh@RadianSolutions.com")</f>
        <v>Josh@RadianSolutions.com</v>
      </c>
      <c r="K19" s="26" t="str">
        <f ca="1">IFERROR(__xludf.DUMMYFUNCTION("""COMPUTED_VALUE"""),"240-972-3426 x 107")</f>
        <v>240-972-3426 x 107</v>
      </c>
    </row>
    <row r="20" spans="1:11" ht="30.75" customHeight="1" x14ac:dyDescent="0.25">
      <c r="A20" s="22" t="str">
        <f ca="1">IFERROR(__xludf.DUMMYFUNCTION("""COMPUTED_VALUE"""),"47QREB21D0036")</f>
        <v>47QREB21D0036</v>
      </c>
      <c r="B20" s="23" t="str">
        <f ca="1">IFERROR(__xludf.DUMMYFUNCTION("""COMPUTED_VALUE"""),"Rainmakers-LinkVisum, LLC (RSLV)")</f>
        <v>Rainmakers-LinkVisum, LLC (RSLV)</v>
      </c>
      <c r="C20" s="24" t="str">
        <f ca="1">IFERROR(__xludf.DUMMYFUNCTION("""COMPUTED_VALUE"""),"117448853")</f>
        <v>117448853</v>
      </c>
      <c r="D20" s="25" t="str">
        <f ca="1">IFERROR(__xludf.DUMMYFUNCTION("""COMPUTED_VALUE"""),"18444 N. 25th Ave, Suite 420
Phoenix, AZ, 85023-1268")</f>
        <v>18444 N. 25th Ave, Suite 420
Phoenix, AZ, 85023-1268</v>
      </c>
      <c r="E20" s="26" t="str">
        <f ca="1">IFERROR(__xludf.DUMMYFUNCTION("""COMPUTED_VALUE"""),"denise.rainey@rainmakerssolutions.com")</f>
        <v>denise.rainey@rainmakerssolutions.com</v>
      </c>
      <c r="F20" s="26" t="str">
        <f ca="1">IFERROR(__xludf.DUMMYFUNCTION("""COMPUTED_VALUE"""),"Denise Rainey")</f>
        <v>Denise Rainey</v>
      </c>
      <c r="G20" s="26" t="str">
        <f ca="1">IFERROR(__xludf.DUMMYFUNCTION("""COMPUTED_VALUE"""),"denise.rainey@rainmakerssolutions.com")</f>
        <v>denise.rainey@rainmakerssolutions.com</v>
      </c>
      <c r="H20" s="26" t="str">
        <f ca="1">IFERROR(__xludf.DUMMYFUNCTION("""COMPUTED_VALUE"""),"443-255-3796")</f>
        <v>443-255-3796</v>
      </c>
      <c r="I20" s="26" t="str">
        <f ca="1">IFERROR(__xludf.DUMMYFUNCTION("""COMPUTED_VALUE"""),"Michael Mlotkowski")</f>
        <v>Michael Mlotkowski</v>
      </c>
      <c r="J20" s="26" t="str">
        <f ca="1">IFERROR(__xludf.DUMMYFUNCTION("""COMPUTED_VALUE"""),"michael.mlotkowski@rainmakerssolutions.com")</f>
        <v>michael.mlotkowski@rainmakerssolutions.com</v>
      </c>
      <c r="K20" s="26" t="str">
        <f ca="1">IFERROR(__xludf.DUMMYFUNCTION("""COMPUTED_VALUE"""),"571-263-6096")</f>
        <v>571-263-6096</v>
      </c>
    </row>
    <row r="21" spans="1:11" ht="30.75" customHeight="1" x14ac:dyDescent="0.25">
      <c r="A21" s="22" t="str">
        <f ca="1">IFERROR(__xludf.DUMMYFUNCTION("""COMPUTED_VALUE"""),"47QREB21D0037")</f>
        <v>47QREB21D0037</v>
      </c>
      <c r="B21" s="23" t="str">
        <f ca="1">IFERROR(__xludf.DUMMYFUNCTION("""COMPUTED_VALUE"""),"RB Management Consultants")</f>
        <v>RB Management Consultants</v>
      </c>
      <c r="C21" s="24" t="str">
        <f ca="1">IFERROR(__xludf.DUMMYFUNCTION("""COMPUTED_VALUE"""),"080773545")</f>
        <v>080773545</v>
      </c>
      <c r="D21" s="25" t="str">
        <f ca="1">IFERROR(__xludf.DUMMYFUNCTION("""COMPUTED_VALUE"""),"1777 North Kent Street  4th  Floor Arlington VA 22202-3709")</f>
        <v>1777 North Kent Street  4th  Floor Arlington VA 22202-3709</v>
      </c>
      <c r="E21" s="26" t="str">
        <f ca="1">IFERROR(__xludf.DUMMYFUNCTION("""COMPUTED_VALUE"""),"HCaTS@rbmanagementconsultants.com")</f>
        <v>HCaTS@rbmanagementconsultants.com</v>
      </c>
      <c r="F21" s="26" t="str">
        <f ca="1">IFERROR(__xludf.DUMMYFUNCTION("""COMPUTED_VALUE"""),"Atalie Jacobs")</f>
        <v>Atalie Jacobs</v>
      </c>
      <c r="G21" s="26" t="str">
        <f ca="1">IFERROR(__xludf.DUMMYFUNCTION("""COMPUTED_VALUE"""),"atalie.jacobs@riospartners.com")</f>
        <v>atalie.jacobs@riospartners.com</v>
      </c>
      <c r="H21" s="26" t="str">
        <f ca="1">IFERROR(__xludf.DUMMYFUNCTION("""COMPUTED_VALUE"""),"773-301-8634")</f>
        <v>773-301-8634</v>
      </c>
      <c r="I21" s="26" t="str">
        <f ca="1">IFERROR(__xludf.DUMMYFUNCTION("""COMPUTED_VALUE"""),"Peter Schwarz")</f>
        <v>Peter Schwarz</v>
      </c>
      <c r="J21" s="26" t="str">
        <f ca="1">IFERROR(__xludf.DUMMYFUNCTION("""COMPUTED_VALUE"""),"schwarz.peter@bcgfed.com")</f>
        <v>schwarz.peter@bcgfed.com</v>
      </c>
      <c r="K21" s="26" t="str">
        <f ca="1">IFERROR(__xludf.DUMMYFUNCTION("""COMPUTED_VALUE"""),"212-203-3624")</f>
        <v>212-203-3624</v>
      </c>
    </row>
    <row r="22" spans="1:11" ht="30.75" customHeight="1" x14ac:dyDescent="0.25">
      <c r="A22" s="22" t="str">
        <f ca="1">IFERROR(__xludf.DUMMYFUNCTION("""COMPUTED_VALUE"""),"47QREB21D0038")</f>
        <v>47QREB21D0038</v>
      </c>
      <c r="B22" s="23" t="str">
        <f ca="1">IFERROR(__xludf.DUMMYFUNCTION("""COMPUTED_VALUE"""),"RiVidium Inc")</f>
        <v>RiVidium Inc</v>
      </c>
      <c r="C22" s="24" t="str">
        <f ca="1">IFERROR(__xludf.DUMMYFUNCTION("""COMPUTED_VALUE"""),"827489035")</f>
        <v>827489035</v>
      </c>
      <c r="D22" s="25" t="str">
        <f ca="1">IFERROR(__xludf.DUMMYFUNCTION("""COMPUTED_VALUE"""),"10530 Linden Lake Plaza, Suite 200, Manassas, VA 20109")</f>
        <v>10530 Linden Lake Plaza, Suite 200, Manassas, VA 20109</v>
      </c>
      <c r="E22" s="26" t="str">
        <f ca="1">IFERROR(__xludf.DUMMYFUNCTION("""COMPUTED_VALUE"""),"proposals@rividium.com")</f>
        <v>proposals@rividium.com</v>
      </c>
      <c r="F22" s="26" t="str">
        <f ca="1">IFERROR(__xludf.DUMMYFUNCTION("""COMPUTED_VALUE"""),"Richard Trimber")</f>
        <v>Richard Trimber</v>
      </c>
      <c r="G22" s="26" t="str">
        <f ca="1">IFERROR(__xludf.DUMMYFUNCTION("""COMPUTED_VALUE"""),"Richard.trimber@rividium.com")</f>
        <v>Richard.trimber@rividium.com</v>
      </c>
      <c r="H22" s="26" t="str">
        <f ca="1">IFERROR(__xludf.DUMMYFUNCTION("""COMPUTED_VALUE"""),"703-366-3900 ext 101")</f>
        <v>703-366-3900 ext 101</v>
      </c>
      <c r="I22" s="26" t="str">
        <f ca="1">IFERROR(__xludf.DUMMYFUNCTION("""COMPUTED_VALUE"""),"Lisa Baird")</f>
        <v>Lisa Baird</v>
      </c>
      <c r="J22" s="26" t="str">
        <f ca="1">IFERROR(__xludf.DUMMYFUNCTION("""COMPUTED_VALUE"""),"lisa.baird@rividium.com")</f>
        <v>lisa.baird@rividium.com</v>
      </c>
      <c r="K22" s="26" t="str">
        <f ca="1">IFERROR(__xludf.DUMMYFUNCTION("""COMPUTED_VALUE"""),"703-366-3900 ext 110")</f>
        <v>703-366-3900 ext 110</v>
      </c>
    </row>
    <row r="23" spans="1:11" ht="30.75" customHeight="1" x14ac:dyDescent="0.25">
      <c r="A23" s="22" t="str">
        <f ca="1">IFERROR(__xludf.DUMMYFUNCTION("""COMPUTED_VALUE"""),"47QREB21D0044")</f>
        <v>47QREB21D0044</v>
      </c>
      <c r="B23" s="23" t="str">
        <f ca="1">IFERROR(__xludf.DUMMYFUNCTION("""COMPUTED_VALUE"""),"Spatial Front, Inc")</f>
        <v>Spatial Front, Inc</v>
      </c>
      <c r="C23" s="24" t="str">
        <f ca="1">IFERROR(__xludf.DUMMYFUNCTION("""COMPUTED_VALUE"""),"833175917")</f>
        <v>833175917</v>
      </c>
      <c r="D23" s="25" t="str">
        <f ca="1">IFERROR(__xludf.DUMMYFUNCTION("""COMPUTED_VALUE"""),"1568 Spring Hill Road, Suite 300
McLean, VA, 22102-3010")</f>
        <v>1568 Spring Hill Road, Suite 300
McLean, VA, 22102-3010</v>
      </c>
      <c r="E23" s="26" t="str">
        <f ca="1">IFERROR(__xludf.DUMMYFUNCTION("""COMPUTED_VALUE"""),"hcats@spatialfront.com")</f>
        <v>hcats@spatialfront.com</v>
      </c>
      <c r="F23" s="26" t="str">
        <f ca="1">IFERROR(__xludf.DUMMYFUNCTION("""COMPUTED_VALUE""")," Bob Darlington")</f>
        <v xml:space="preserve"> Bob Darlington</v>
      </c>
      <c r="G23" s="26" t="str">
        <f ca="1">IFERROR(__xludf.DUMMYFUNCTION("""COMPUTED_VALUE""")," bob.darlington@spatialfront.com")</f>
        <v xml:space="preserve"> bob.darlington@spatialfront.com</v>
      </c>
      <c r="H23" s="26" t="str">
        <f ca="1">IFERROR(__xludf.DUMMYFUNCTION("""COMPUTED_VALUE"""),"703-863-5047")</f>
        <v>703-863-5047</v>
      </c>
      <c r="I23" s="26" t="str">
        <f ca="1">IFERROR(__xludf.DUMMYFUNCTION("""COMPUTED_VALUE"""),"Jennifer A. Davis")</f>
        <v>Jennifer A. Davis</v>
      </c>
      <c r="J23" s="26" t="str">
        <f ca="1">IFERROR(__xludf.DUMMYFUNCTION("""COMPUTED_VALUE"""),"jennifer.davis@spatialfront.com")</f>
        <v>jennifer.davis@spatialfront.com</v>
      </c>
      <c r="K23" s="26" t="str">
        <f ca="1">IFERROR(__xludf.DUMMYFUNCTION("""COMPUTED_VALUE"""),"202-878-0736")</f>
        <v>202-878-0736</v>
      </c>
    </row>
    <row r="24" spans="1:11" ht="30.75" customHeight="1" x14ac:dyDescent="0.25">
      <c r="A24" s="22" t="str">
        <f ca="1">IFERROR(__xludf.DUMMYFUNCTION("""COMPUTED_VALUE"""),"47QREB21D0039")</f>
        <v>47QREB21D0039</v>
      </c>
      <c r="B24" s="23" t="str">
        <f ca="1">IFERROR(__xludf.DUMMYFUNCTION("""COMPUTED_VALUE"""),"Texta Analytics, LLC")</f>
        <v>Texta Analytics, LLC</v>
      </c>
      <c r="C24" s="24" t="str">
        <f ca="1">IFERROR(__xludf.DUMMYFUNCTION("""COMPUTED_VALUE"""),"117417062")</f>
        <v>117417062</v>
      </c>
      <c r="D24" s="25" t="str">
        <f ca="1">IFERROR(__xludf.DUMMYFUNCTION("""COMPUTED_VALUE"""),"3975 University Dr Ste 440
Fairfax, VA, 22030-2520")</f>
        <v>3975 University Dr Ste 440
Fairfax, VA, 22030-2520</v>
      </c>
      <c r="E24" s="26" t="str">
        <f ca="1">IFERROR(__xludf.DUMMYFUNCTION("""COMPUTED_VALUE"""),"hcats@fedwriters.com")</f>
        <v>hcats@fedwriters.com</v>
      </c>
      <c r="F24" s="26" t="str">
        <f ca="1">IFERROR(__xludf.DUMMYFUNCTION("""COMPUTED_VALUE"""),"Eric Stone")</f>
        <v>Eric Stone</v>
      </c>
      <c r="G24" s="26" t="str">
        <f ca="1">IFERROR(__xludf.DUMMYFUNCTION("""COMPUTED_VALUE"""),"eric.stone@fedwriters.com")</f>
        <v>eric.stone@fedwriters.com</v>
      </c>
      <c r="H24" s="26" t="str">
        <f ca="1">IFERROR(__xludf.DUMMYFUNCTION("""COMPUTED_VALUE"""),"760-315-8818 ")</f>
        <v xml:space="preserve">760-315-8818 </v>
      </c>
      <c r="I24" s="26" t="str">
        <f ca="1">IFERROR(__xludf.DUMMYFUNCTION("""COMPUTED_VALUE"""),"Mitchell Cho")</f>
        <v>Mitchell Cho</v>
      </c>
      <c r="J24" s="26" t="str">
        <f ca="1">IFERROR(__xludf.DUMMYFUNCTION("""COMPUTED_VALUE"""),"mitchell.cho@fedwriters.com")</f>
        <v>mitchell.cho@fedwriters.com</v>
      </c>
      <c r="K24" s="26" t="str">
        <f ca="1">IFERROR(__xludf.DUMMYFUNCTION("""COMPUTED_VALUE"""),"202-271-0312")</f>
        <v>202-271-0312</v>
      </c>
    </row>
    <row r="25" spans="1:11" ht="30.75" customHeight="1" x14ac:dyDescent="0.25">
      <c r="A25" s="22" t="str">
        <f ca="1">IFERROR(__xludf.DUMMYFUNCTION("""COMPUTED_VALUE"""),"47QREB21D0040")</f>
        <v>47QREB21D0040</v>
      </c>
      <c r="B25" s="23" t="str">
        <f ca="1">IFERROR(__xludf.DUMMYFUNCTION("""COMPUTED_VALUE"""),"Trilliance, LLC")</f>
        <v>Trilliance, LLC</v>
      </c>
      <c r="C25" s="24" t="str">
        <f ca="1">IFERROR(__xludf.DUMMYFUNCTION("""COMPUTED_VALUE"""),"117079626")</f>
        <v>117079626</v>
      </c>
      <c r="D25" s="25" t="str">
        <f ca="1">IFERROR(__xludf.DUMMYFUNCTION("""COMPUTED_VALUE"""),"11091 Sunset Hill Rd Ste 800
 Reston, VA 20190-5381 USA
")</f>
        <v xml:space="preserve">11091 Sunset Hill Rd Ste 800
 Reston, VA 20190-5381 USA
</v>
      </c>
      <c r="E25" s="26" t="str">
        <f ca="1">IFERROR(__xludf.DUMMYFUNCTION("""COMPUTED_VALUE"""),"hcats-8a-p2@broadleaf-inc.com")</f>
        <v>hcats-8a-p2@broadleaf-inc.com</v>
      </c>
      <c r="F25" s="26" t="str">
        <f ca="1">IFERROR(__xludf.DUMMYFUNCTION("""COMPUTED_VALUE"""),"Vincent Apesa")</f>
        <v>Vincent Apesa</v>
      </c>
      <c r="G25" s="26" t="str">
        <f ca="1">IFERROR(__xludf.DUMMYFUNCTION("""COMPUTED_VALUE"""),"vincent.apesa@broadleaf-inc.com")</f>
        <v>vincent.apesa@broadleaf-inc.com</v>
      </c>
      <c r="H25" s="26" t="str">
        <f ca="1">IFERROR(__xludf.DUMMYFUNCTION("""COMPUTED_VALUE"""),"571-445-8280x2000")</f>
        <v>571-445-8280x2000</v>
      </c>
      <c r="I25" s="26" t="str">
        <f ca="1">IFERROR(__xludf.DUMMYFUNCTION("""COMPUTED_VALUE"""),"William Erdmann")</f>
        <v>William Erdmann</v>
      </c>
      <c r="J25" s="26" t="str">
        <f ca="1">IFERROR(__xludf.DUMMYFUNCTION("""COMPUTED_VALUE"""),"william.erdmann@broadleaf-inc.com")</f>
        <v>william.erdmann@broadleaf-inc.com</v>
      </c>
      <c r="K25" s="26" t="str">
        <f ca="1">IFERROR(__xludf.DUMMYFUNCTION("""COMPUTED_VALUE"""),"571-445-8280 x 2003")</f>
        <v>571-445-8280 x 2003</v>
      </c>
    </row>
    <row r="26" spans="1:11" ht="30.75" customHeight="1" x14ac:dyDescent="0.25">
      <c r="A26" s="22" t="str">
        <f ca="1">IFERROR(__xludf.DUMMYFUNCTION("""COMPUTED_VALUE"""),"47QREB21D0041")</f>
        <v>47QREB21D0041</v>
      </c>
      <c r="B26" s="23" t="str">
        <f ca="1">IFERROR(__xludf.DUMMYFUNCTION("""COMPUTED_VALUE"""),"Wits Solutions Inc")</f>
        <v>Wits Solutions Inc</v>
      </c>
      <c r="C26" s="24" t="str">
        <f ca="1">IFERROR(__xludf.DUMMYFUNCTION("""COMPUTED_VALUE"""),"831584409")</f>
        <v>831584409</v>
      </c>
      <c r="D26" s="25" t="str">
        <f ca="1">IFERROR(__xludf.DUMMYFUNCTION("""COMPUTED_VALUE"""),"44790 Maynard Sq Ste 340 
Ashburn, VA, 20147-6514")</f>
        <v>44790 Maynard Sq Ste 340 
Ashburn, VA, 20147-6514</v>
      </c>
      <c r="E26" s="26" t="str">
        <f ca="1">IFERROR(__xludf.DUMMYFUNCTION("""COMPUTED_VALUE"""),"HCaTS@witssolutions.com")</f>
        <v>HCaTS@witssolutions.com</v>
      </c>
      <c r="F26" s="26" t="str">
        <f ca="1">IFERROR(__xludf.DUMMYFUNCTION("""COMPUTED_VALUE"""),"Raju Kalidindi")</f>
        <v>Raju Kalidindi</v>
      </c>
      <c r="G26" s="26" t="str">
        <f ca="1">IFERROR(__xludf.DUMMYFUNCTION("""COMPUTED_VALUE"""),"raju@witssolutions.com")</f>
        <v>raju@witssolutions.com</v>
      </c>
      <c r="H26" s="26" t="str">
        <f ca="1">IFERROR(__xludf.DUMMYFUNCTION("""COMPUTED_VALUE"""),"609-273-7357")</f>
        <v>609-273-7357</v>
      </c>
      <c r="I26" s="26" t="str">
        <f ca="1">IFERROR(__xludf.DUMMYFUNCTION("""COMPUTED_VALUE"""),"Archana Buddhiraju")</f>
        <v>Archana Buddhiraju</v>
      </c>
      <c r="J26" s="26" t="str">
        <f ca="1">IFERROR(__xludf.DUMMYFUNCTION("""COMPUTED_VALUE"""),"archana@witssolutions.com")</f>
        <v>archana@witssolutions.com</v>
      </c>
      <c r="K26" s="26" t="str">
        <f ca="1">IFERROR(__xludf.DUMMYFUNCTION("""COMPUTED_VALUE"""),"800-952-9487 x15")</f>
        <v>800-952-9487 x15</v>
      </c>
    </row>
    <row r="27" spans="1:11" ht="30.75" customHeight="1" x14ac:dyDescent="0.25">
      <c r="A27" s="22" t="str">
        <f ca="1">IFERROR(__xludf.DUMMYFUNCTION("""COMPUTED_VALUE"""),"47QREB21D0043")</f>
        <v>47QREB21D0043</v>
      </c>
      <c r="B27" s="23" t="str">
        <f ca="1">IFERROR(__xludf.DUMMYFUNCTION("""COMPUTED_VALUE"""),"Workforce Innovations JV")</f>
        <v>Workforce Innovations JV</v>
      </c>
      <c r="C27" s="24" t="str">
        <f ca="1">IFERROR(__xludf.DUMMYFUNCTION("""COMPUTED_VALUE"""),"117443129")</f>
        <v>117443129</v>
      </c>
      <c r="D27" s="25" t="str">
        <f ca="1">IFERROR(__xludf.DUMMYFUNCTION("""COMPUTED_VALUE"""),"3909 Arctic Blvd Ste 500
Anchorage, AK, 99503-5793")</f>
        <v>3909 Arctic Blvd Ste 500
Anchorage, AK, 99503-5793</v>
      </c>
      <c r="E27" s="26" t="str">
        <f ca="1">IFERROR(__xludf.DUMMYFUNCTION("""COMPUTED_VALUE"""),"WFIHCATS@alutiiq.com ")</f>
        <v xml:space="preserve">WFIHCATS@alutiiq.com </v>
      </c>
      <c r="F27" s="26" t="str">
        <f ca="1">IFERROR(__xludf.DUMMYFUNCTION("""COMPUTED_VALUE"""),"Larry Symons")</f>
        <v>Larry Symons</v>
      </c>
      <c r="G27" s="26" t="str">
        <f ca="1">IFERROR(__xludf.DUMMYFUNCTION("""COMPUTED_VALUE"""),"lsymons@alutiiq.com")</f>
        <v>lsymons@alutiiq.com</v>
      </c>
      <c r="H27" s="26" t="str">
        <f ca="1">IFERROR(__xludf.DUMMYFUNCTION("""COMPUTED_VALUE"""),"256-489-9304")</f>
        <v>256-489-9304</v>
      </c>
      <c r="I27" s="26" t="str">
        <f ca="1">IFERROR(__xludf.DUMMYFUNCTION("""COMPUTED_VALUE"""),"Elizabeth Galloway")</f>
        <v>Elizabeth Galloway</v>
      </c>
      <c r="J27" s="26" t="str">
        <f ca="1">IFERROR(__xludf.DUMMYFUNCTION("""COMPUTED_VALUE"""),"egalloway@alutiiq.com")</f>
        <v>egalloway@alutiiq.com</v>
      </c>
      <c r="K27" s="26" t="str">
        <f ca="1">IFERROR(__xludf.DUMMYFUNCTION("""COMPUTED_VALUE"""),"(256) 489-9306")</f>
        <v>(256) 489-9306</v>
      </c>
    </row>
    <row r="28" spans="1:11" ht="30.75" customHeight="1" x14ac:dyDescent="0.25">
      <c r="A28" s="22" t="str">
        <f ca="1">IFERROR(__xludf.DUMMYFUNCTION("""COMPUTED_VALUE"""),"47QREB21D0042")</f>
        <v>47QREB21D0042</v>
      </c>
      <c r="B28" s="23" t="str">
        <f ca="1">IFERROR(__xludf.DUMMYFUNCTION("""COMPUTED_VALUE"""),"WWC Global LLC")</f>
        <v>WWC Global LLC</v>
      </c>
      <c r="C28" s="24" t="str">
        <f ca="1">IFERROR(__xludf.DUMMYFUNCTION("""COMPUTED_VALUE"""),"149521846")</f>
        <v>149521846</v>
      </c>
      <c r="D28" s="25" t="str">
        <f ca="1">IFERROR(__xludf.DUMMYFUNCTION("""COMPUTED_VALUE"""),"5304 Clouds Peak Drive 
Lutz, FL, 33558-4961")</f>
        <v>5304 Clouds Peak Drive 
Lutz, FL, 33558-4961</v>
      </c>
      <c r="E28" s="26" t="str">
        <f ca="1">IFERROR(__xludf.DUMMYFUNCTION("""COMPUTED_VALUE"""),"hcats@wwcglobal.com")</f>
        <v>hcats@wwcglobal.com</v>
      </c>
      <c r="F28" s="26" t="str">
        <f ca="1">IFERROR(__xludf.DUMMYFUNCTION("""COMPUTED_VALUE"""),"Doug Wheeler")</f>
        <v>Doug Wheeler</v>
      </c>
      <c r="G28" s="26" t="str">
        <f ca="1">IFERROR(__xludf.DUMMYFUNCTION("""COMPUTED_VALUE"""),"douglas.wheeler@wwcglobal.com")</f>
        <v>douglas.wheeler@wwcglobal.com</v>
      </c>
      <c r="H28" s="26" t="str">
        <f ca="1">IFERROR(__xludf.DUMMYFUNCTION("""COMPUTED_VALUE"""),"571-226-7701")</f>
        <v>571-226-7701</v>
      </c>
      <c r="I28" s="26" t="str">
        <f ca="1">IFERROR(__xludf.DUMMYFUNCTION("""COMPUTED_VALUE"""),"Frank Kuska")</f>
        <v>Frank Kuska</v>
      </c>
      <c r="J28" s="26" t="str">
        <f ca="1">IFERROR(__xludf.DUMMYFUNCTION("""COMPUTED_VALUE"""),"Frank.Kuska@wwcglobal.com")</f>
        <v>Frank.Kuska@wwcglobal.com</v>
      </c>
      <c r="K28" s="26"/>
    </row>
    <row r="29" spans="1:11" ht="30.75" customHeight="1" x14ac:dyDescent="0.25">
      <c r="A29" s="22"/>
      <c r="B29" s="23"/>
      <c r="C29" s="24"/>
      <c r="D29" s="25"/>
      <c r="E29" s="26"/>
      <c r="F29" s="26"/>
      <c r="G29" s="26"/>
      <c r="H29" s="26"/>
      <c r="I29" s="26"/>
      <c r="J29" s="26"/>
      <c r="K29" s="26"/>
    </row>
    <row r="30" spans="1:11" ht="30.75" customHeight="1" x14ac:dyDescent="0.25">
      <c r="A30" s="22"/>
      <c r="B30" s="23"/>
      <c r="C30" s="24"/>
      <c r="D30" s="25"/>
      <c r="E30" s="26"/>
      <c r="F30" s="26"/>
      <c r="G30" s="26"/>
      <c r="H30" s="26"/>
      <c r="I30" s="26"/>
      <c r="J30" s="26"/>
      <c r="K30" s="26"/>
    </row>
    <row r="31" spans="1:11" ht="30.75" customHeight="1" x14ac:dyDescent="0.25">
      <c r="A31" s="22"/>
      <c r="B31" s="23"/>
      <c r="C31" s="24"/>
      <c r="D31" s="25"/>
      <c r="E31" s="26"/>
      <c r="F31" s="26"/>
      <c r="G31" s="26"/>
      <c r="H31" s="26"/>
      <c r="I31" s="26"/>
      <c r="J31" s="26"/>
      <c r="K31" s="26"/>
    </row>
    <row r="32" spans="1:11" ht="30.75" customHeight="1" x14ac:dyDescent="0.25">
      <c r="A32" s="22"/>
      <c r="B32" s="23"/>
      <c r="C32" s="24"/>
      <c r="D32" s="25"/>
      <c r="E32" s="26"/>
      <c r="F32" s="26"/>
      <c r="G32" s="26"/>
      <c r="H32" s="26"/>
      <c r="I32" s="26"/>
      <c r="J32" s="26"/>
      <c r="K32" s="26"/>
    </row>
    <row r="33" spans="1:11" ht="30.75" customHeight="1" x14ac:dyDescent="0.25">
      <c r="A33" s="22"/>
      <c r="B33" s="23"/>
      <c r="C33" s="24"/>
      <c r="D33" s="25"/>
      <c r="E33" s="26"/>
      <c r="F33" s="26"/>
      <c r="G33" s="26"/>
      <c r="H33" s="26"/>
      <c r="I33" s="26"/>
      <c r="J33" s="26"/>
      <c r="K33" s="26"/>
    </row>
    <row r="34" spans="1:11" ht="30.75" customHeight="1" x14ac:dyDescent="0.25">
      <c r="A34" s="22"/>
      <c r="B34" s="23"/>
      <c r="C34" s="24"/>
      <c r="D34" s="25"/>
      <c r="E34" s="26"/>
      <c r="F34" s="26"/>
      <c r="G34" s="26"/>
      <c r="H34" s="26"/>
      <c r="I34" s="26"/>
      <c r="J34" s="26"/>
      <c r="K34" s="26"/>
    </row>
    <row r="35" spans="1:11" ht="30.75" customHeight="1" x14ac:dyDescent="0.25">
      <c r="A35" s="22"/>
      <c r="B35" s="23"/>
      <c r="C35" s="24"/>
      <c r="D35" s="25"/>
      <c r="E35" s="26"/>
      <c r="F35" s="26"/>
      <c r="G35" s="26"/>
      <c r="H35" s="26"/>
      <c r="I35" s="26"/>
      <c r="J35" s="26"/>
      <c r="K35" s="26"/>
    </row>
    <row r="36" spans="1:11" ht="30.75" customHeight="1" x14ac:dyDescent="0.25">
      <c r="A36" s="22"/>
      <c r="B36" s="23"/>
      <c r="C36" s="24"/>
      <c r="D36" s="25"/>
      <c r="E36" s="26"/>
      <c r="F36" s="26"/>
      <c r="G36" s="26"/>
      <c r="H36" s="26"/>
      <c r="I36" s="26"/>
      <c r="J36" s="26"/>
      <c r="K36" s="26"/>
    </row>
    <row r="37" spans="1:11" ht="30.75" customHeight="1" x14ac:dyDescent="0.25">
      <c r="A37" s="22"/>
      <c r="B37" s="23"/>
      <c r="C37" s="24"/>
      <c r="D37" s="25"/>
      <c r="E37" s="26"/>
      <c r="F37" s="26"/>
      <c r="G37" s="26"/>
      <c r="H37" s="26"/>
      <c r="I37" s="26"/>
      <c r="J37" s="26"/>
      <c r="K37" s="26"/>
    </row>
    <row r="38" spans="1:11" ht="30.75" customHeight="1" x14ac:dyDescent="0.25">
      <c r="A38" s="22"/>
      <c r="B38" s="23"/>
      <c r="C38" s="24"/>
      <c r="D38" s="25"/>
      <c r="E38" s="26"/>
      <c r="F38" s="26"/>
      <c r="G38" s="26"/>
      <c r="H38" s="26"/>
      <c r="I38" s="26"/>
      <c r="J38" s="26"/>
      <c r="K38" s="26"/>
    </row>
    <row r="39" spans="1:11" ht="30.75" customHeight="1" x14ac:dyDescent="0.25">
      <c r="A39" s="22"/>
      <c r="B39" s="23"/>
      <c r="C39" s="24"/>
      <c r="D39" s="25"/>
      <c r="E39" s="26"/>
      <c r="F39" s="26"/>
      <c r="G39" s="26"/>
      <c r="H39" s="26"/>
      <c r="I39" s="26"/>
      <c r="J39" s="26"/>
      <c r="K39" s="26"/>
    </row>
    <row r="40" spans="1:11" ht="30.75" customHeight="1" x14ac:dyDescent="0.25">
      <c r="A40" s="22"/>
      <c r="B40" s="23"/>
      <c r="C40" s="24"/>
      <c r="D40" s="25"/>
      <c r="E40" s="26"/>
      <c r="F40" s="26"/>
      <c r="G40" s="26"/>
      <c r="H40" s="26"/>
      <c r="I40" s="26"/>
      <c r="J40" s="26"/>
      <c r="K40" s="26"/>
    </row>
  </sheetData>
  <pageMargins left="0.2" right="0.2" top="0.2" bottom="0.2" header="0" footer="0"/>
  <pageSetup orientation="landscape"/>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6666"/>
    <outlinePr summaryBelow="0" summaryRight="0"/>
  </sheetPr>
  <dimension ref="A1:E25"/>
  <sheetViews>
    <sheetView workbookViewId="0">
      <pane ySplit="2" topLeftCell="A3" activePane="bottomLeft" state="frozen"/>
      <selection pane="bottomLeft" activeCell="I8" sqref="I8"/>
    </sheetView>
  </sheetViews>
  <sheetFormatPr defaultColWidth="11.25" defaultRowHeight="15" customHeight="1" x14ac:dyDescent="0.25"/>
  <cols>
    <col min="1" max="1" width="7.75" customWidth="1"/>
    <col min="2" max="2" width="5.875" customWidth="1"/>
    <col min="3" max="3" width="36" customWidth="1"/>
    <col min="4" max="4" width="16.125" customWidth="1"/>
    <col min="5" max="5" width="31.25" customWidth="1"/>
  </cols>
  <sheetData>
    <row r="1" spans="1:5" ht="93.75" customHeight="1" x14ac:dyDescent="0.25">
      <c r="A1" s="102" t="s">
        <v>45</v>
      </c>
      <c r="B1" s="100"/>
      <c r="C1" s="100"/>
      <c r="D1" s="100"/>
      <c r="E1" s="101"/>
    </row>
    <row r="2" spans="1:5" ht="15.75" x14ac:dyDescent="0.25">
      <c r="A2" s="78" t="s">
        <v>46</v>
      </c>
      <c r="B2" s="78" t="s">
        <v>47</v>
      </c>
      <c r="C2" s="78" t="s">
        <v>48</v>
      </c>
      <c r="D2" s="78" t="s">
        <v>49</v>
      </c>
      <c r="E2" s="78" t="s">
        <v>50</v>
      </c>
    </row>
    <row r="3" spans="1:5" ht="31.5" x14ac:dyDescent="0.25">
      <c r="A3" s="79" t="str">
        <f ca="1">IFERROR(__xludf.DUMMYFUNCTION("Query(importrange(""https://docs.google.com/spreadsheets/d/1t10Foe1vTEZyMDsOA_q-Q29vy-Kz9U_eP3ItSEmmPak/edit#gid=525286931"",""Inactive Contracts Status!A2:G100""),""SELECT Col1, Col2, Col3, Col4, Col5 where Col5='Dormant'"",0)"),"SB")</f>
        <v>SB</v>
      </c>
      <c r="B3" s="79" t="str">
        <f ca="1">IFERROR(__xludf.DUMMYFUNCTION("""COMPUTED_VALUE"""),"Pool 2")</f>
        <v>Pool 2</v>
      </c>
      <c r="C3" s="79" t="str">
        <f ca="1">IFERROR(__xludf.DUMMYFUNCTION("""COMPUTED_VALUE"""),"Cherokee Nation Management &amp; Consulting, LLC")</f>
        <v>Cherokee Nation Management &amp; Consulting, LLC</v>
      </c>
      <c r="D3" s="79" t="str">
        <f ca="1">IFERROR(__xludf.DUMMYFUNCTION("""COMPUTED_VALUE"""),"GS02Q17DCR0003")</f>
        <v>GS02Q17DCR0003</v>
      </c>
      <c r="E3" s="79" t="str">
        <f ca="1">IFERROR(__xludf.DUMMYFUNCTION("""COMPUTED_VALUE"""),"Dormant")</f>
        <v>Dormant</v>
      </c>
    </row>
    <row r="4" spans="1:5" ht="15.75" x14ac:dyDescent="0.25">
      <c r="A4" s="80" t="str">
        <f ca="1">IFERROR(__xludf.DUMMYFUNCTION("""COMPUTED_VALUE"""),"SB")</f>
        <v>SB</v>
      </c>
      <c r="B4" s="80" t="str">
        <f ca="1">IFERROR(__xludf.DUMMYFUNCTION("""COMPUTED_VALUE"""),"Pool 1")</f>
        <v>Pool 1</v>
      </c>
      <c r="C4" s="80" t="str">
        <f ca="1">IFERROR(__xludf.DUMMYFUNCTION("""COMPUTED_VALUE"""),"Metis Solutions, LLC")</f>
        <v>Metis Solutions, LLC</v>
      </c>
      <c r="D4" s="80" t="str">
        <f ca="1">IFERROR(__xludf.DUMMYFUNCTION("""COMPUTED_VALUE"""),"GS02Q16DCR0077")</f>
        <v>GS02Q16DCR0077</v>
      </c>
      <c r="E4" s="80" t="str">
        <f ca="1">IFERROR(__xludf.DUMMYFUNCTION("""COMPUTED_VALUE"""),"Dormant")</f>
        <v>Dormant</v>
      </c>
    </row>
    <row r="5" spans="1:5" ht="15.75" x14ac:dyDescent="0.25">
      <c r="A5" s="79" t="str">
        <f ca="1">IFERROR(__xludf.DUMMYFUNCTION("""COMPUTED_VALUE"""),"SB")</f>
        <v>SB</v>
      </c>
      <c r="B5" s="79" t="str">
        <f ca="1">IFERROR(__xludf.DUMMYFUNCTION("""COMPUTED_VALUE"""),"Pool 2")</f>
        <v>Pool 2</v>
      </c>
      <c r="C5" s="79" t="str">
        <f ca="1">IFERROR(__xludf.DUMMYFUNCTION("""COMPUTED_VALUE"""),"METIS Solutions, LLC")</f>
        <v>METIS Solutions, LLC</v>
      </c>
      <c r="D5" s="79" t="str">
        <f ca="1">IFERROR(__xludf.DUMMYFUNCTION("""COMPUTED_VALUE"""),"GS02Q16DCR0098")</f>
        <v>GS02Q16DCR0098</v>
      </c>
      <c r="E5" s="79" t="str">
        <f ca="1">IFERROR(__xludf.DUMMYFUNCTION("""COMPUTED_VALUE"""),"Dormant")</f>
        <v>Dormant</v>
      </c>
    </row>
    <row r="6" spans="1:5" ht="15.75" x14ac:dyDescent="0.25">
      <c r="A6" s="80" t="str">
        <f ca="1">IFERROR(__xludf.DUMMYFUNCTION("""COMPUTED_VALUE"""),"SB")</f>
        <v>SB</v>
      </c>
      <c r="B6" s="80" t="str">
        <f ca="1">IFERROR(__xludf.DUMMYFUNCTION("""COMPUTED_VALUE"""),"Pool 2")</f>
        <v>Pool 2</v>
      </c>
      <c r="C6" s="80" t="str">
        <f ca="1">IFERROR(__xludf.DUMMYFUNCTION("""COMPUTED_VALUE"""),"Micro Systems Consultants Inc")</f>
        <v>Micro Systems Consultants Inc</v>
      </c>
      <c r="D6" s="80" t="str">
        <f ca="1">IFERROR(__xludf.DUMMYFUNCTION("""COMPUTED_VALUE"""),"GS02Q16DCR0099")</f>
        <v>GS02Q16DCR0099</v>
      </c>
      <c r="E6" s="80" t="str">
        <f ca="1">IFERROR(__xludf.DUMMYFUNCTION("""COMPUTED_VALUE"""),"Dormant")</f>
        <v>Dormant</v>
      </c>
    </row>
    <row r="7" spans="1:5" ht="15.75" x14ac:dyDescent="0.25">
      <c r="A7" s="79" t="str">
        <f ca="1">IFERROR(__xludf.DUMMYFUNCTION("""COMPUTED_VALUE"""),"SB")</f>
        <v>SB</v>
      </c>
      <c r="B7" s="79" t="str">
        <f ca="1">IFERROR(__xludf.DUMMYFUNCTION("""COMPUTED_VALUE"""),"Pool 1")</f>
        <v>Pool 1</v>
      </c>
      <c r="C7" s="79" t="str">
        <f ca="1">IFERROR(__xludf.DUMMYFUNCTION("""COMPUTED_VALUE"""),"PowerTrain, Inc")</f>
        <v>PowerTrain, Inc</v>
      </c>
      <c r="D7" s="79" t="str">
        <f ca="1">IFERROR(__xludf.DUMMYFUNCTION("""COMPUTED_VALUE"""),"GS02Q16DCR0080")</f>
        <v>GS02Q16DCR0080</v>
      </c>
      <c r="E7" s="79" t="str">
        <f ca="1">IFERROR(__xludf.DUMMYFUNCTION("""COMPUTED_VALUE"""),"Dormant")</f>
        <v>Dormant</v>
      </c>
    </row>
    <row r="8" spans="1:5" ht="15.75" x14ac:dyDescent="0.25">
      <c r="A8" s="80" t="str">
        <f ca="1">IFERROR(__xludf.DUMMYFUNCTION("""COMPUTED_VALUE"""),"SB")</f>
        <v>SB</v>
      </c>
      <c r="B8" s="80" t="str">
        <f ca="1">IFERROR(__xludf.DUMMYFUNCTION("""COMPUTED_VALUE"""),"Pool 2")</f>
        <v>Pool 2</v>
      </c>
      <c r="C8" s="80" t="str">
        <f ca="1">IFERROR(__xludf.DUMMYFUNCTION("""COMPUTED_VALUE"""),"PowerTrain, Inc")</f>
        <v>PowerTrain, Inc</v>
      </c>
      <c r="D8" s="80" t="str">
        <f ca="1">IFERROR(__xludf.DUMMYFUNCTION("""COMPUTED_VALUE"""),"GS02Q16DCR0103")</f>
        <v>GS02Q16DCR0103</v>
      </c>
      <c r="E8" s="80" t="str">
        <f ca="1">IFERROR(__xludf.DUMMYFUNCTION("""COMPUTED_VALUE"""),"Dormant")</f>
        <v>Dormant</v>
      </c>
    </row>
    <row r="9" spans="1:5" ht="15.75" x14ac:dyDescent="0.25">
      <c r="A9" s="79" t="str">
        <f ca="1">IFERROR(__xludf.DUMMYFUNCTION("""COMPUTED_VALUE"""),"SB")</f>
        <v>SB</v>
      </c>
      <c r="B9" s="79" t="str">
        <f ca="1">IFERROR(__xludf.DUMMYFUNCTION("""COMPUTED_VALUE"""),"Pool 2")</f>
        <v>Pool 2</v>
      </c>
      <c r="C9" s="79" t="str">
        <f ca="1">IFERROR(__xludf.DUMMYFUNCTION("""COMPUTED_VALUE"""),"Dynamis, Inc")</f>
        <v>Dynamis, Inc</v>
      </c>
      <c r="D9" s="79" t="str">
        <f ca="1">IFERROR(__xludf.DUMMYFUNCTION("""COMPUTED_VALUE"""),"GS02Q16DCR0088")</f>
        <v>GS02Q16DCR0088</v>
      </c>
      <c r="E9" s="79" t="str">
        <f ca="1">IFERROR(__xludf.DUMMYFUNCTION("""COMPUTED_VALUE"""),"Dormant")</f>
        <v>Dormant</v>
      </c>
    </row>
    <row r="10" spans="1:5" ht="15.75" x14ac:dyDescent="0.25">
      <c r="A10" s="80" t="s">
        <v>51</v>
      </c>
      <c r="B10" s="80" t="s">
        <v>52</v>
      </c>
      <c r="C10" s="80" t="s">
        <v>53</v>
      </c>
      <c r="D10" s="80" t="s">
        <v>54</v>
      </c>
      <c r="E10" s="80" t="s">
        <v>58</v>
      </c>
    </row>
    <row r="11" spans="1:5" ht="15.75" x14ac:dyDescent="0.25">
      <c r="A11" s="79" t="s">
        <v>55</v>
      </c>
      <c r="B11" s="79" t="s">
        <v>56</v>
      </c>
      <c r="C11" s="81" t="s">
        <v>53</v>
      </c>
      <c r="D11" s="82" t="s">
        <v>57</v>
      </c>
      <c r="E11" s="81" t="s">
        <v>58</v>
      </c>
    </row>
    <row r="12" spans="1:5" ht="15.75" x14ac:dyDescent="0.25">
      <c r="A12" s="80"/>
      <c r="B12" s="80"/>
      <c r="C12" s="80"/>
      <c r="D12" s="80"/>
      <c r="E12" s="80"/>
    </row>
    <row r="13" spans="1:5" ht="15.75" x14ac:dyDescent="0.25">
      <c r="A13" s="79"/>
      <c r="B13" s="79"/>
      <c r="C13" s="79"/>
      <c r="D13" s="79"/>
      <c r="E13" s="79"/>
    </row>
    <row r="14" spans="1:5" ht="15.75" x14ac:dyDescent="0.25">
      <c r="A14" s="80"/>
      <c r="B14" s="80"/>
      <c r="C14" s="80"/>
      <c r="D14" s="80"/>
      <c r="E14" s="80"/>
    </row>
    <row r="15" spans="1:5" ht="15.75" x14ac:dyDescent="0.25">
      <c r="A15" s="79"/>
      <c r="B15" s="79"/>
      <c r="C15" s="79"/>
      <c r="D15" s="79"/>
      <c r="E15" s="79"/>
    </row>
    <row r="16" spans="1:5" ht="15.75" x14ac:dyDescent="0.25">
      <c r="A16" s="80"/>
      <c r="B16" s="80"/>
      <c r="C16" s="80"/>
      <c r="D16" s="80"/>
      <c r="E16" s="80"/>
    </row>
    <row r="17" spans="1:5" ht="15.75" x14ac:dyDescent="0.25">
      <c r="A17" s="79"/>
      <c r="B17" s="79"/>
      <c r="C17" s="79"/>
      <c r="D17" s="79"/>
      <c r="E17" s="79"/>
    </row>
    <row r="18" spans="1:5" ht="15.75" x14ac:dyDescent="0.25">
      <c r="A18" s="80"/>
      <c r="B18" s="80"/>
      <c r="C18" s="80"/>
      <c r="D18" s="80"/>
      <c r="E18" s="80"/>
    </row>
    <row r="19" spans="1:5" ht="15.75" x14ac:dyDescent="0.25">
      <c r="A19" s="79"/>
      <c r="B19" s="79"/>
      <c r="C19" s="79"/>
      <c r="D19" s="79"/>
      <c r="E19" s="79"/>
    </row>
    <row r="20" spans="1:5" ht="15.75" x14ac:dyDescent="0.25">
      <c r="A20" s="80"/>
      <c r="B20" s="80"/>
      <c r="C20" s="80"/>
      <c r="D20" s="80"/>
      <c r="E20" s="80"/>
    </row>
    <row r="21" spans="1:5" ht="15.75" x14ac:dyDescent="0.25">
      <c r="A21" s="79"/>
      <c r="B21" s="79"/>
      <c r="C21" s="79"/>
      <c r="D21" s="79"/>
      <c r="E21" s="79"/>
    </row>
    <row r="22" spans="1:5" ht="15.75" x14ac:dyDescent="0.25">
      <c r="A22" s="80"/>
      <c r="B22" s="80"/>
      <c r="C22" s="80"/>
      <c r="D22" s="80"/>
      <c r="E22" s="80"/>
    </row>
    <row r="23" spans="1:5" ht="15.75" x14ac:dyDescent="0.25">
      <c r="A23" s="79"/>
      <c r="B23" s="79"/>
      <c r="C23" s="79"/>
      <c r="D23" s="79"/>
      <c r="E23" s="79"/>
    </row>
    <row r="24" spans="1:5" ht="15.75" x14ac:dyDescent="0.25">
      <c r="A24" s="80"/>
      <c r="B24" s="80"/>
      <c r="C24" s="80"/>
      <c r="D24" s="80"/>
      <c r="E24" s="80"/>
    </row>
    <row r="25" spans="1:5" ht="15.75" x14ac:dyDescent="0.25">
      <c r="A25" s="79"/>
      <c r="B25" s="79"/>
      <c r="C25" s="79"/>
      <c r="D25" s="79"/>
      <c r="E25" s="79"/>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HCaTS Instructions</vt:lpstr>
      <vt:lpstr>Unrestricted Pool 1</vt:lpstr>
      <vt:lpstr>Unrestricted Pool 2</vt:lpstr>
      <vt:lpstr>Small Business Pool 1</vt:lpstr>
      <vt:lpstr>Small Business Pool 2</vt:lpstr>
      <vt:lpstr>8(a) Pool 1</vt:lpstr>
      <vt:lpstr>8(a) Pool 2</vt:lpstr>
      <vt:lpstr>Inactive HCaTS Contracts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DanielRTrimboli</dc:creator>
  <cp:lastModifiedBy>MichaelRPetty</cp:lastModifiedBy>
  <dcterms:created xsi:type="dcterms:W3CDTF">2024-01-05T15:30:42Z</dcterms:created>
  <dcterms:modified xsi:type="dcterms:W3CDTF">2024-01-05T16:42:36Z</dcterms:modified>
</cp:coreProperties>
</file>